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omments1.xml" ContentType="application/vnd.openxmlformats-officedocument.spreadsheetml.comments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harts/chart4.xml" ContentType="application/vnd.openxmlformats-officedocument.drawingml.chart+xml"/>
  <Override PartName="/xl/drawings/drawing12.xml" ContentType="application/vnd.openxmlformats-officedocument.drawing+xml"/>
  <Override PartName="/xl/comments2.xml" ContentType="application/vnd.openxmlformats-officedocument.spreadsheetml.comments+xml"/>
  <Override PartName="/xl/charts/chart5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810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onor/surfdrive/1stpaper_PAO AnaerobicRedoxBalancing/AEM resubmission 2020/round 2/"/>
    </mc:Choice>
  </mc:AlternateContent>
  <xr:revisionPtr revIDLastSave="0" documentId="13_ncr:1_{852EF685-5D40-6D4E-9E7B-700FE92BCB25}" xr6:coauthVersionLast="45" xr6:coauthVersionMax="45" xr10:uidLastSave="{00000000-0000-0000-0000-000000000000}"/>
  <bookViews>
    <workbookView xWindow="0" yWindow="460" windowWidth="41980" windowHeight="28340" tabRatio="500" activeTab="1" xr2:uid="{00000000-000D-0000-FFFF-FFFF00000000}"/>
  </bookViews>
  <sheets>
    <sheet name="Info" sheetId="20" r:id="rId1"/>
    <sheet name="References" sheetId="21" r:id="rId2"/>
    <sheet name="All" sheetId="5" r:id="rId3"/>
    <sheet name="Yagci 2003" sheetId="12" r:id="rId4"/>
    <sheet name="Pijuan 2003" sheetId="10" r:id="rId5"/>
    <sheet name="Erdal 2005" sheetId="4" r:id="rId6"/>
    <sheet name="Pijuan 2008" sheetId="19" r:id="rId7"/>
    <sheet name="Zhou 2009" sheetId="16" r:id="rId8"/>
    <sheet name="Lanham 2012" sheetId="9" r:id="rId9"/>
    <sheet name="Acevedo 2012" sheetId="13" r:id="rId10"/>
    <sheet name="Carvalheira 2014" sheetId="15" r:id="rId11"/>
    <sheet name="Welles 2015, 2017" sheetId="1" r:id="rId12"/>
    <sheet name="Filipe 2001 GAO model" sheetId="14" r:id="rId13"/>
    <sheet name="Acevedo 2014 PAMGAM model" sheetId="17" r:id="rId14"/>
  </sheets>
  <calcPr calcId="191029" concurrentCalc="0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2" i="21" l="1"/>
  <c r="B2" i="21"/>
  <c r="A3" i="21"/>
  <c r="B3" i="21"/>
  <c r="A4" i="21"/>
  <c r="B4" i="21"/>
  <c r="A5" i="21"/>
  <c r="B5" i="21"/>
  <c r="A6" i="21"/>
  <c r="B6" i="21"/>
  <c r="A7" i="21"/>
  <c r="B7" i="21"/>
  <c r="A8" i="21"/>
  <c r="B8" i="21"/>
  <c r="A9" i="21"/>
  <c r="B9" i="21"/>
  <c r="A10" i="21"/>
  <c r="B10" i="21"/>
  <c r="A11" i="21"/>
  <c r="B11" i="21"/>
  <c r="A12" i="21"/>
  <c r="B12" i="21"/>
  <c r="A13" i="21"/>
  <c r="B13" i="21"/>
  <c r="A14" i="21"/>
  <c r="B14" i="21"/>
  <c r="A15" i="21"/>
  <c r="B15" i="21"/>
  <c r="A16" i="21"/>
  <c r="B16" i="21"/>
  <c r="A17" i="21"/>
  <c r="B17" i="21"/>
  <c r="A18" i="21"/>
  <c r="B18" i="21"/>
  <c r="A19" i="21"/>
  <c r="B19" i="21"/>
  <c r="A20" i="21"/>
  <c r="B20" i="21"/>
  <c r="A21" i="21"/>
  <c r="B21" i="21"/>
  <c r="A22" i="21"/>
  <c r="B22" i="21"/>
  <c r="A23" i="21"/>
  <c r="B23" i="21"/>
  <c r="A24" i="21"/>
  <c r="B24" i="21"/>
  <c r="A25" i="21"/>
  <c r="B25" i="21"/>
  <c r="A26" i="21"/>
  <c r="B26" i="21"/>
  <c r="A27" i="21"/>
  <c r="B27" i="21"/>
  <c r="A28" i="21"/>
  <c r="B28" i="21"/>
  <c r="A29" i="21"/>
  <c r="B29" i="21"/>
  <c r="A30" i="21"/>
  <c r="B30" i="21"/>
  <c r="A31" i="21"/>
  <c r="B31" i="21"/>
  <c r="A32" i="21"/>
  <c r="B32" i="21"/>
  <c r="A33" i="21"/>
  <c r="B33" i="21"/>
  <c r="A34" i="21"/>
  <c r="B34" i="21"/>
  <c r="A35" i="21"/>
  <c r="B35" i="21"/>
  <c r="A36" i="21"/>
  <c r="B36" i="21"/>
  <c r="A37" i="21"/>
  <c r="B37" i="21"/>
  <c r="A38" i="21"/>
  <c r="B38" i="21"/>
  <c r="A39" i="21"/>
  <c r="B39" i="21"/>
  <c r="A40" i="21"/>
  <c r="B40" i="21"/>
  <c r="A41" i="21"/>
  <c r="B41" i="21"/>
  <c r="A42" i="21"/>
  <c r="B42" i="21"/>
  <c r="A43" i="21"/>
  <c r="B43" i="21"/>
  <c r="A44" i="21"/>
  <c r="B44" i="21"/>
  <c r="A45" i="21"/>
  <c r="B45" i="21"/>
  <c r="A46" i="21"/>
  <c r="B46" i="21"/>
  <c r="A47" i="21"/>
  <c r="B47" i="21"/>
  <c r="A48" i="21"/>
  <c r="B48" i="21"/>
  <c r="A49" i="21"/>
  <c r="B49" i="21"/>
  <c r="A50" i="21"/>
  <c r="B50" i="21"/>
  <c r="A51" i="21"/>
  <c r="B51" i="21"/>
  <c r="A52" i="21"/>
  <c r="B52" i="21"/>
  <c r="A53" i="21"/>
  <c r="B53" i="21"/>
  <c r="A54" i="21"/>
  <c r="B54" i="21"/>
  <c r="A55" i="21"/>
  <c r="B55" i="21"/>
  <c r="A56" i="21"/>
  <c r="B56" i="21"/>
  <c r="B1" i="21"/>
  <c r="A1" i="21"/>
  <c r="AE3" i="5"/>
  <c r="AE4" i="5"/>
  <c r="AE5" i="5"/>
  <c r="AE6" i="5"/>
  <c r="AE7" i="5"/>
  <c r="AE8" i="5"/>
  <c r="AE9" i="5"/>
  <c r="AE10" i="5"/>
  <c r="AE11" i="5"/>
  <c r="AE12" i="5"/>
  <c r="AE13" i="5"/>
  <c r="AE14" i="5"/>
  <c r="AE15" i="5"/>
  <c r="AE16" i="5"/>
  <c r="AE17" i="5"/>
  <c r="AE18" i="5"/>
  <c r="AE19" i="5"/>
  <c r="AE20" i="5"/>
  <c r="AE21" i="5"/>
  <c r="AE22" i="5"/>
  <c r="AE23" i="5"/>
  <c r="AE24" i="5"/>
  <c r="AE25" i="5"/>
  <c r="AE26" i="5"/>
  <c r="AE27" i="5"/>
  <c r="AE28" i="5"/>
  <c r="AE29" i="5"/>
  <c r="AE30" i="5"/>
  <c r="AE31" i="5"/>
  <c r="AE32" i="5"/>
  <c r="AE33" i="5"/>
  <c r="AE34" i="5"/>
  <c r="AE35" i="5"/>
  <c r="AE36" i="5"/>
  <c r="AE37" i="5"/>
  <c r="AE38" i="5"/>
  <c r="AE39" i="5"/>
  <c r="AE40" i="5"/>
  <c r="AE41" i="5"/>
  <c r="AE42" i="5"/>
  <c r="AE43" i="5"/>
  <c r="AE44" i="5"/>
  <c r="AE45" i="5"/>
  <c r="AE46" i="5"/>
  <c r="AE47" i="5"/>
  <c r="AE48" i="5"/>
  <c r="AE49" i="5"/>
  <c r="AE50" i="5"/>
  <c r="AE51" i="5"/>
  <c r="AE52" i="5"/>
  <c r="AE53" i="5"/>
  <c r="AE54" i="5"/>
  <c r="AE55" i="5"/>
  <c r="AE56" i="5"/>
  <c r="AD3" i="5"/>
  <c r="AD4" i="5"/>
  <c r="AD5" i="5"/>
  <c r="AD6" i="5"/>
  <c r="AD7" i="5"/>
  <c r="AD8" i="5"/>
  <c r="AD9" i="5"/>
  <c r="AD10" i="5"/>
  <c r="AD11" i="5"/>
  <c r="AD12" i="5"/>
  <c r="AD13" i="5"/>
  <c r="AD14" i="5"/>
  <c r="AD15" i="5"/>
  <c r="AD16" i="5"/>
  <c r="AD17" i="5"/>
  <c r="AD18" i="5"/>
  <c r="AD19" i="5"/>
  <c r="AD20" i="5"/>
  <c r="AD21" i="5"/>
  <c r="AD22" i="5"/>
  <c r="AD23" i="5"/>
  <c r="AD24" i="5"/>
  <c r="AD25" i="5"/>
  <c r="AD26" i="5"/>
  <c r="AD27" i="5"/>
  <c r="AD28" i="5"/>
  <c r="AD29" i="5"/>
  <c r="AD30" i="5"/>
  <c r="AD31" i="5"/>
  <c r="AD32" i="5"/>
  <c r="AD33" i="5"/>
  <c r="AD34" i="5"/>
  <c r="AD35" i="5"/>
  <c r="AD36" i="5"/>
  <c r="AD37" i="5"/>
  <c r="AD38" i="5"/>
  <c r="AD39" i="5"/>
  <c r="AD40" i="5"/>
  <c r="AD41" i="5"/>
  <c r="AD42" i="5"/>
  <c r="AD43" i="5"/>
  <c r="AD44" i="5"/>
  <c r="AD45" i="5"/>
  <c r="AD46" i="5"/>
  <c r="AD47" i="5"/>
  <c r="AD48" i="5"/>
  <c r="AD49" i="5"/>
  <c r="AD50" i="5"/>
  <c r="AD51" i="5"/>
  <c r="AD52" i="5"/>
  <c r="AD53" i="5"/>
  <c r="AD54" i="5"/>
  <c r="AD55" i="5"/>
  <c r="AD56" i="5"/>
  <c r="AE2" i="5"/>
  <c r="AD2" i="5"/>
  <c r="B7" i="17"/>
  <c r="D7" i="17"/>
  <c r="E7" i="17"/>
  <c r="F7" i="17"/>
  <c r="G7" i="17"/>
  <c r="H7" i="17"/>
  <c r="B8" i="17"/>
  <c r="D8" i="17"/>
  <c r="E8" i="17"/>
  <c r="F8" i="17"/>
  <c r="G8" i="17"/>
  <c r="H8" i="17"/>
  <c r="B9" i="17"/>
  <c r="D9" i="17"/>
  <c r="E9" i="17"/>
  <c r="F9" i="17"/>
  <c r="G9" i="17"/>
  <c r="H9" i="17"/>
  <c r="B10" i="17"/>
  <c r="D10" i="17"/>
  <c r="E10" i="17"/>
  <c r="F10" i="17"/>
  <c r="G10" i="17"/>
  <c r="H10" i="17"/>
  <c r="B11" i="17"/>
  <c r="D11" i="17"/>
  <c r="E11" i="17"/>
  <c r="F11" i="17"/>
  <c r="G11" i="17"/>
  <c r="H11" i="17"/>
  <c r="B12" i="17"/>
  <c r="D12" i="17"/>
  <c r="E12" i="17"/>
  <c r="F12" i="17"/>
  <c r="G12" i="17"/>
  <c r="H12" i="17"/>
  <c r="B13" i="17"/>
  <c r="D13" i="17"/>
  <c r="E13" i="17"/>
  <c r="F13" i="17"/>
  <c r="G13" i="17"/>
  <c r="H13" i="17"/>
  <c r="B14" i="17"/>
  <c r="D14" i="17"/>
  <c r="E14" i="17"/>
  <c r="F14" i="17"/>
  <c r="G14" i="17"/>
  <c r="H14" i="17"/>
  <c r="B15" i="17"/>
  <c r="D15" i="17"/>
  <c r="E15" i="17"/>
  <c r="F15" i="17"/>
  <c r="G15" i="17"/>
  <c r="H15" i="17"/>
  <c r="B16" i="17"/>
  <c r="D16" i="17"/>
  <c r="E16" i="17"/>
  <c r="F16" i="17"/>
  <c r="G16" i="17"/>
  <c r="H16" i="17"/>
  <c r="B17" i="17"/>
  <c r="D17" i="17"/>
  <c r="E17" i="17"/>
  <c r="F17" i="17"/>
  <c r="G17" i="17"/>
  <c r="H17" i="17"/>
  <c r="B18" i="17"/>
  <c r="D18" i="17"/>
  <c r="E18" i="17"/>
  <c r="F18" i="17"/>
  <c r="G18" i="17"/>
  <c r="H18" i="17"/>
  <c r="B19" i="17"/>
  <c r="D19" i="17"/>
  <c r="E19" i="17"/>
  <c r="F19" i="17"/>
  <c r="G19" i="17"/>
  <c r="H19" i="17"/>
  <c r="B20" i="17"/>
  <c r="D20" i="17"/>
  <c r="E20" i="17"/>
  <c r="F20" i="17"/>
  <c r="G20" i="17"/>
  <c r="H20" i="17"/>
  <c r="B21" i="17"/>
  <c r="D21" i="17"/>
  <c r="E21" i="17"/>
  <c r="F21" i="17"/>
  <c r="G21" i="17"/>
  <c r="H21" i="17"/>
  <c r="B6" i="17"/>
  <c r="D6" i="17"/>
  <c r="E6" i="17"/>
  <c r="F6" i="17"/>
  <c r="G6" i="17"/>
  <c r="H6" i="17"/>
  <c r="O7" i="17"/>
  <c r="N7" i="17"/>
  <c r="P7" i="17"/>
  <c r="O8" i="17"/>
  <c r="N8" i="17"/>
  <c r="P8" i="17"/>
  <c r="O9" i="17"/>
  <c r="N9" i="17"/>
  <c r="P9" i="17"/>
  <c r="O10" i="17"/>
  <c r="N10" i="17"/>
  <c r="P10" i="17"/>
  <c r="O11" i="17"/>
  <c r="N11" i="17"/>
  <c r="P11" i="17"/>
  <c r="O12" i="17"/>
  <c r="N12" i="17"/>
  <c r="P12" i="17"/>
  <c r="O13" i="17"/>
  <c r="N13" i="17"/>
  <c r="P13" i="17"/>
  <c r="O14" i="17"/>
  <c r="N14" i="17"/>
  <c r="P14" i="17"/>
  <c r="O15" i="17"/>
  <c r="N15" i="17"/>
  <c r="P15" i="17"/>
  <c r="O16" i="17"/>
  <c r="N16" i="17"/>
  <c r="P16" i="17"/>
  <c r="O17" i="17"/>
  <c r="N17" i="17"/>
  <c r="P17" i="17"/>
  <c r="O18" i="17"/>
  <c r="N18" i="17"/>
  <c r="P18" i="17"/>
  <c r="O19" i="17"/>
  <c r="N19" i="17"/>
  <c r="P19" i="17"/>
  <c r="O20" i="17"/>
  <c r="N20" i="17"/>
  <c r="P20" i="17"/>
  <c r="O21" i="17"/>
  <c r="N21" i="17"/>
  <c r="P21" i="17"/>
  <c r="G7" i="4"/>
  <c r="F7" i="4"/>
  <c r="G2" i="4"/>
  <c r="H7" i="4"/>
  <c r="H2" i="4"/>
  <c r="I7" i="4"/>
  <c r="I2" i="4"/>
  <c r="J7" i="4"/>
  <c r="J2" i="4"/>
  <c r="R2" i="4"/>
  <c r="G8" i="4"/>
  <c r="F8" i="4"/>
  <c r="G3" i="4"/>
  <c r="H8" i="4"/>
  <c r="H3" i="4"/>
  <c r="I8" i="4"/>
  <c r="I3" i="4"/>
  <c r="J8" i="4"/>
  <c r="J3" i="4"/>
  <c r="R3" i="4"/>
  <c r="J2" i="1"/>
  <c r="R2" i="1"/>
  <c r="J3" i="1"/>
  <c r="R3" i="1"/>
  <c r="J4" i="1"/>
  <c r="R4" i="1"/>
  <c r="J5" i="1"/>
  <c r="R5" i="1"/>
  <c r="J6" i="1"/>
  <c r="R6" i="1"/>
  <c r="J7" i="1"/>
  <c r="R7" i="1"/>
  <c r="J8" i="1"/>
  <c r="R8" i="1"/>
  <c r="J9" i="1"/>
  <c r="R9" i="1"/>
  <c r="J10" i="1"/>
  <c r="R10" i="1"/>
  <c r="J11" i="1"/>
  <c r="R11" i="1"/>
  <c r="J12" i="1"/>
  <c r="R12" i="1"/>
  <c r="J13" i="1"/>
  <c r="R13" i="1"/>
  <c r="J14" i="1"/>
  <c r="R14" i="1"/>
  <c r="J15" i="1"/>
  <c r="R15" i="1"/>
  <c r="J16" i="1"/>
  <c r="R16" i="1"/>
  <c r="J17" i="1"/>
  <c r="R17" i="1"/>
  <c r="J18" i="1"/>
  <c r="R18" i="1"/>
  <c r="J19" i="1"/>
  <c r="R19" i="1"/>
  <c r="J20" i="1"/>
  <c r="R20" i="1"/>
  <c r="J21" i="1"/>
  <c r="R21" i="1"/>
  <c r="G2" i="9"/>
  <c r="H2" i="9"/>
  <c r="I2" i="9"/>
  <c r="J2" i="9"/>
  <c r="R2" i="9"/>
  <c r="G3" i="9"/>
  <c r="H3" i="9"/>
  <c r="I3" i="9"/>
  <c r="J3" i="9"/>
  <c r="R3" i="9"/>
  <c r="H4" i="9"/>
  <c r="I4" i="9"/>
  <c r="J4" i="9"/>
  <c r="R4" i="9"/>
  <c r="H5" i="9"/>
  <c r="I5" i="9"/>
  <c r="J5" i="9"/>
  <c r="R5" i="9"/>
  <c r="H6" i="9"/>
  <c r="I6" i="9"/>
  <c r="J6" i="9"/>
  <c r="R6" i="9"/>
  <c r="H7" i="9"/>
  <c r="I7" i="9"/>
  <c r="J7" i="9"/>
  <c r="R7" i="9"/>
  <c r="H8" i="9"/>
  <c r="I8" i="9"/>
  <c r="J8" i="9"/>
  <c r="R8" i="9"/>
  <c r="J2" i="10"/>
  <c r="R2" i="10"/>
  <c r="G2" i="12"/>
  <c r="H2" i="12"/>
  <c r="I2" i="12"/>
  <c r="J2" i="12"/>
  <c r="R2" i="12"/>
  <c r="G3" i="12"/>
  <c r="H3" i="12"/>
  <c r="I3" i="12"/>
  <c r="J3" i="12"/>
  <c r="R3" i="12"/>
  <c r="G4" i="12"/>
  <c r="H4" i="12"/>
  <c r="I4" i="12"/>
  <c r="J4" i="12"/>
  <c r="R4" i="12"/>
  <c r="G5" i="12"/>
  <c r="H5" i="12"/>
  <c r="I5" i="12"/>
  <c r="J5" i="12"/>
  <c r="R5" i="12"/>
  <c r="G6" i="12"/>
  <c r="H6" i="12"/>
  <c r="I6" i="12"/>
  <c r="J6" i="12"/>
  <c r="R6" i="12"/>
  <c r="G7" i="12"/>
  <c r="H7" i="12"/>
  <c r="I7" i="12"/>
  <c r="J7" i="12"/>
  <c r="R7" i="12"/>
  <c r="G8" i="12"/>
  <c r="H8" i="12"/>
  <c r="I8" i="12"/>
  <c r="J8" i="12"/>
  <c r="R8" i="12"/>
  <c r="G9" i="12"/>
  <c r="H9" i="12"/>
  <c r="I9" i="12"/>
  <c r="J9" i="12"/>
  <c r="R9" i="12"/>
  <c r="H2" i="15"/>
  <c r="R2" i="15"/>
  <c r="A56" i="5"/>
  <c r="B56" i="5"/>
  <c r="C56" i="5"/>
  <c r="D56" i="5"/>
  <c r="E56" i="5"/>
  <c r="F56" i="5"/>
  <c r="G56" i="5"/>
  <c r="H56" i="5"/>
  <c r="I56" i="5"/>
  <c r="J56" i="5"/>
  <c r="K3" i="19"/>
  <c r="K56" i="5"/>
  <c r="L56" i="5"/>
  <c r="M56" i="5"/>
  <c r="N56" i="5"/>
  <c r="O56" i="5"/>
  <c r="P3" i="19"/>
  <c r="P56" i="5"/>
  <c r="R3" i="19"/>
  <c r="Q56" i="5"/>
  <c r="S3" i="19"/>
  <c r="Q3" i="19"/>
  <c r="R2" i="19"/>
  <c r="Q55" i="5"/>
  <c r="B55" i="5"/>
  <c r="C55" i="5"/>
  <c r="D55" i="5"/>
  <c r="E55" i="5"/>
  <c r="F55" i="5"/>
  <c r="G55" i="5"/>
  <c r="H55" i="5"/>
  <c r="I55" i="5"/>
  <c r="J55" i="5"/>
  <c r="K2" i="19"/>
  <c r="K55" i="5"/>
  <c r="L55" i="5"/>
  <c r="M55" i="5"/>
  <c r="N55" i="5"/>
  <c r="O55" i="5"/>
  <c r="P2" i="19"/>
  <c r="P55" i="5"/>
  <c r="A55" i="5"/>
  <c r="S2" i="19"/>
  <c r="Q2" i="19"/>
  <c r="B20" i="12"/>
  <c r="C20" i="12"/>
  <c r="D20" i="12"/>
  <c r="E20" i="12"/>
  <c r="L20" i="12"/>
  <c r="F20" i="12"/>
  <c r="K20" i="12"/>
  <c r="J20" i="12"/>
  <c r="I20" i="12"/>
  <c r="H20" i="12"/>
  <c r="G20" i="12"/>
  <c r="B57" i="12"/>
  <c r="C57" i="12"/>
  <c r="D57" i="12"/>
  <c r="E57" i="12"/>
  <c r="L57" i="12"/>
  <c r="F57" i="12"/>
  <c r="K57" i="12"/>
  <c r="J57" i="12"/>
  <c r="I57" i="12"/>
  <c r="H57" i="12"/>
  <c r="G57" i="12"/>
  <c r="F3" i="4"/>
  <c r="K3" i="4"/>
  <c r="L3" i="4"/>
  <c r="M3" i="4"/>
  <c r="N3" i="4"/>
  <c r="F2" i="4"/>
  <c r="K2" i="4"/>
  <c r="O2" i="4"/>
  <c r="N2" i="4"/>
  <c r="M2" i="4"/>
  <c r="L2" i="4"/>
  <c r="J11" i="13"/>
  <c r="K11" i="13"/>
  <c r="O11" i="13"/>
  <c r="J3" i="13"/>
  <c r="K3" i="13"/>
  <c r="O3" i="13"/>
  <c r="J4" i="13"/>
  <c r="K4" i="13"/>
  <c r="O4" i="13"/>
  <c r="J5" i="13"/>
  <c r="K5" i="13"/>
  <c r="O5" i="13"/>
  <c r="J6" i="13"/>
  <c r="K6" i="13"/>
  <c r="O6" i="13"/>
  <c r="J7" i="13"/>
  <c r="K7" i="13"/>
  <c r="O7" i="13"/>
  <c r="J8" i="13"/>
  <c r="K8" i="13"/>
  <c r="O8" i="13"/>
  <c r="J9" i="13"/>
  <c r="K9" i="13"/>
  <c r="O9" i="13"/>
  <c r="J2" i="13"/>
  <c r="K2" i="13"/>
  <c r="O2" i="13"/>
  <c r="K9" i="12"/>
  <c r="O9" i="12"/>
  <c r="K6" i="1"/>
  <c r="O6" i="1"/>
  <c r="K9" i="1"/>
  <c r="O9" i="1"/>
  <c r="K13" i="1"/>
  <c r="O13" i="1"/>
  <c r="K15" i="1"/>
  <c r="O15" i="1"/>
  <c r="J44" i="13"/>
  <c r="O44" i="13"/>
  <c r="J43" i="13"/>
  <c r="O43" i="13"/>
  <c r="J42" i="13"/>
  <c r="O42" i="13"/>
  <c r="J12" i="13"/>
  <c r="O12" i="13"/>
  <c r="O2" i="10"/>
  <c r="F6" i="14"/>
  <c r="F7" i="14"/>
  <c r="F8" i="14"/>
  <c r="F9" i="14"/>
  <c r="F10" i="14"/>
  <c r="F11" i="14"/>
  <c r="F12" i="14"/>
  <c r="F13" i="14"/>
  <c r="F14" i="14"/>
  <c r="F15" i="14"/>
  <c r="F16" i="14"/>
  <c r="F17" i="14"/>
  <c r="F18" i="14"/>
  <c r="F19" i="14"/>
  <c r="F20" i="14"/>
  <c r="F21" i="14"/>
  <c r="F5" i="14"/>
  <c r="C5" i="14"/>
  <c r="K5" i="14"/>
  <c r="C6" i="14"/>
  <c r="C7" i="14"/>
  <c r="C8" i="14"/>
  <c r="C9" i="14"/>
  <c r="C10" i="14"/>
  <c r="C11" i="14"/>
  <c r="C12" i="14"/>
  <c r="C13" i="14"/>
  <c r="C14" i="14"/>
  <c r="C15" i="14"/>
  <c r="C16" i="14"/>
  <c r="C17" i="14"/>
  <c r="C18" i="14"/>
  <c r="C19" i="14"/>
  <c r="C20" i="14"/>
  <c r="C21" i="14"/>
  <c r="H5" i="14"/>
  <c r="E6" i="14"/>
  <c r="G6" i="14"/>
  <c r="E7" i="14"/>
  <c r="G7" i="14"/>
  <c r="E8" i="14"/>
  <c r="G8" i="14"/>
  <c r="E9" i="14"/>
  <c r="G9" i="14"/>
  <c r="E10" i="14"/>
  <c r="G10" i="14"/>
  <c r="E11" i="14"/>
  <c r="G11" i="14"/>
  <c r="E12" i="14"/>
  <c r="G12" i="14"/>
  <c r="E13" i="14"/>
  <c r="G13" i="14"/>
  <c r="E14" i="14"/>
  <c r="G14" i="14"/>
  <c r="E15" i="14"/>
  <c r="G15" i="14"/>
  <c r="E16" i="14"/>
  <c r="G16" i="14"/>
  <c r="E17" i="14"/>
  <c r="G17" i="14"/>
  <c r="E18" i="14"/>
  <c r="G18" i="14"/>
  <c r="E19" i="14"/>
  <c r="G19" i="14"/>
  <c r="E20" i="14"/>
  <c r="G20" i="14"/>
  <c r="E21" i="14"/>
  <c r="G21" i="14"/>
  <c r="G5" i="14"/>
  <c r="E5" i="14"/>
  <c r="D6" i="14"/>
  <c r="D7" i="14"/>
  <c r="D8" i="14"/>
  <c r="D9" i="14"/>
  <c r="D10" i="14"/>
  <c r="D11" i="14"/>
  <c r="D12" i="14"/>
  <c r="D13" i="14"/>
  <c r="D14" i="14"/>
  <c r="D15" i="14"/>
  <c r="D16" i="14"/>
  <c r="D17" i="14"/>
  <c r="D18" i="14"/>
  <c r="D19" i="14"/>
  <c r="D20" i="14"/>
  <c r="D21" i="14"/>
  <c r="D5" i="14"/>
  <c r="C42" i="12"/>
  <c r="C43" i="12"/>
  <c r="C44" i="12"/>
  <c r="C45" i="12"/>
  <c r="C46" i="12"/>
  <c r="C47" i="12"/>
  <c r="C48" i="12"/>
  <c r="C49" i="12"/>
  <c r="C50" i="12"/>
  <c r="C51" i="12"/>
  <c r="C52" i="12"/>
  <c r="C53" i="12"/>
  <c r="C54" i="12"/>
  <c r="C55" i="12"/>
  <c r="C56" i="12"/>
  <c r="C58" i="12"/>
  <c r="C59" i="12"/>
  <c r="C60" i="12"/>
  <c r="C61" i="12"/>
  <c r="C41" i="12"/>
  <c r="B45" i="12"/>
  <c r="D45" i="12"/>
  <c r="E45" i="12"/>
  <c r="L45" i="12"/>
  <c r="B47" i="12"/>
  <c r="D47" i="12"/>
  <c r="E47" i="12"/>
  <c r="L47" i="12"/>
  <c r="B51" i="12"/>
  <c r="D51" i="12"/>
  <c r="E51" i="12"/>
  <c r="F51" i="12"/>
  <c r="K51" i="12"/>
  <c r="B41" i="12"/>
  <c r="D41" i="12"/>
  <c r="E41" i="12"/>
  <c r="L41" i="12"/>
  <c r="B18" i="12"/>
  <c r="C18" i="12"/>
  <c r="D18" i="12"/>
  <c r="E18" i="12"/>
  <c r="L18" i="12"/>
  <c r="B19" i="12"/>
  <c r="C19" i="12"/>
  <c r="D19" i="12"/>
  <c r="E19" i="12"/>
  <c r="F19" i="12"/>
  <c r="K19" i="12"/>
  <c r="B22" i="12"/>
  <c r="C22" i="12"/>
  <c r="D22" i="12"/>
  <c r="E22" i="12"/>
  <c r="F22" i="12"/>
  <c r="K22" i="12"/>
  <c r="B23" i="12"/>
  <c r="C23" i="12"/>
  <c r="D23" i="12"/>
  <c r="E23" i="12"/>
  <c r="L23" i="12"/>
  <c r="B24" i="12"/>
  <c r="C24" i="12"/>
  <c r="D24" i="12"/>
  <c r="E24" i="12"/>
  <c r="F24" i="12"/>
  <c r="K24" i="12"/>
  <c r="B26" i="12"/>
  <c r="C26" i="12"/>
  <c r="D26" i="12"/>
  <c r="E26" i="12"/>
  <c r="F26" i="12"/>
  <c r="K26" i="12"/>
  <c r="B27" i="12"/>
  <c r="C27" i="12"/>
  <c r="D27" i="12"/>
  <c r="E27" i="12"/>
  <c r="L27" i="12"/>
  <c r="B28" i="12"/>
  <c r="C28" i="12"/>
  <c r="D28" i="12"/>
  <c r="E28" i="12"/>
  <c r="F28" i="12"/>
  <c r="K28" i="12"/>
  <c r="B30" i="12"/>
  <c r="C30" i="12"/>
  <c r="D30" i="12"/>
  <c r="E30" i="12"/>
  <c r="F30" i="12"/>
  <c r="K30" i="12"/>
  <c r="B31" i="12"/>
  <c r="C31" i="12"/>
  <c r="D31" i="12"/>
  <c r="E31" i="12"/>
  <c r="L31" i="12"/>
  <c r="B32" i="12"/>
  <c r="C32" i="12"/>
  <c r="D32" i="12"/>
  <c r="E32" i="12"/>
  <c r="F32" i="12"/>
  <c r="K32" i="12"/>
  <c r="B34" i="12"/>
  <c r="C34" i="12"/>
  <c r="D34" i="12"/>
  <c r="E34" i="12"/>
  <c r="F34" i="12"/>
  <c r="K34" i="12"/>
  <c r="B35" i="12"/>
  <c r="C35" i="12"/>
  <c r="D35" i="12"/>
  <c r="E35" i="12"/>
  <c r="L35" i="12"/>
  <c r="B36" i="12"/>
  <c r="C36" i="12"/>
  <c r="D36" i="12"/>
  <c r="E36" i="12"/>
  <c r="F36" i="12"/>
  <c r="K36" i="12"/>
  <c r="B17" i="12"/>
  <c r="C17" i="12"/>
  <c r="D17" i="12"/>
  <c r="E17" i="12"/>
  <c r="L17" i="12"/>
  <c r="D59" i="12"/>
  <c r="B59" i="12"/>
  <c r="H59" i="12"/>
  <c r="B60" i="12"/>
  <c r="G60" i="12"/>
  <c r="D60" i="12"/>
  <c r="H60" i="12"/>
  <c r="D42" i="12"/>
  <c r="E42" i="12"/>
  <c r="F42" i="12"/>
  <c r="D43" i="12"/>
  <c r="E43" i="12"/>
  <c r="F43" i="12"/>
  <c r="D44" i="12"/>
  <c r="E44" i="12"/>
  <c r="F44" i="12"/>
  <c r="F45" i="12"/>
  <c r="D46" i="12"/>
  <c r="E46" i="12"/>
  <c r="F46" i="12"/>
  <c r="F47" i="12"/>
  <c r="D48" i="12"/>
  <c r="E48" i="12"/>
  <c r="F48" i="12"/>
  <c r="D49" i="12"/>
  <c r="E49" i="12"/>
  <c r="F49" i="12"/>
  <c r="D50" i="12"/>
  <c r="E50" i="12"/>
  <c r="F50" i="12"/>
  <c r="D52" i="12"/>
  <c r="E52" i="12"/>
  <c r="F52" i="12"/>
  <c r="D53" i="12"/>
  <c r="E53" i="12"/>
  <c r="F53" i="12"/>
  <c r="D54" i="12"/>
  <c r="E54" i="12"/>
  <c r="F54" i="12"/>
  <c r="D55" i="12"/>
  <c r="E55" i="12"/>
  <c r="F55" i="12"/>
  <c r="D56" i="12"/>
  <c r="E56" i="12"/>
  <c r="F56" i="12"/>
  <c r="D58" i="12"/>
  <c r="E58" i="12"/>
  <c r="F58" i="12"/>
  <c r="E59" i="12"/>
  <c r="I59" i="12"/>
  <c r="F59" i="12"/>
  <c r="J59" i="12"/>
  <c r="E60" i="12"/>
  <c r="I60" i="12"/>
  <c r="F60" i="12"/>
  <c r="D61" i="12"/>
  <c r="B61" i="12"/>
  <c r="H61" i="12"/>
  <c r="E61" i="12"/>
  <c r="I61" i="12"/>
  <c r="F61" i="12"/>
  <c r="F41" i="12"/>
  <c r="B42" i="12"/>
  <c r="L42" i="12"/>
  <c r="B43" i="12"/>
  <c r="K43" i="12"/>
  <c r="B44" i="12"/>
  <c r="B46" i="12"/>
  <c r="B48" i="12"/>
  <c r="B49" i="12"/>
  <c r="L49" i="12"/>
  <c r="B50" i="12"/>
  <c r="L51" i="12"/>
  <c r="B52" i="12"/>
  <c r="B53" i="12"/>
  <c r="L53" i="12"/>
  <c r="B54" i="12"/>
  <c r="K54" i="12"/>
  <c r="B55" i="12"/>
  <c r="K55" i="12"/>
  <c r="B56" i="12"/>
  <c r="B58" i="12"/>
  <c r="L58" i="12"/>
  <c r="L59" i="12"/>
  <c r="K60" i="12"/>
  <c r="K41" i="12"/>
  <c r="H18" i="12"/>
  <c r="J19" i="12"/>
  <c r="I23" i="12"/>
  <c r="F23" i="12"/>
  <c r="J23" i="12"/>
  <c r="H27" i="12"/>
  <c r="J28" i="12"/>
  <c r="I31" i="12"/>
  <c r="F31" i="12"/>
  <c r="J31" i="12"/>
  <c r="H35" i="12"/>
  <c r="J36" i="12"/>
  <c r="F18" i="12"/>
  <c r="J18" i="12"/>
  <c r="F21" i="12"/>
  <c r="J24" i="12"/>
  <c r="F25" i="12"/>
  <c r="F27" i="12"/>
  <c r="J27" i="12"/>
  <c r="F29" i="12"/>
  <c r="J32" i="12"/>
  <c r="F33" i="12"/>
  <c r="F35" i="12"/>
  <c r="J35" i="12"/>
  <c r="F37" i="12"/>
  <c r="F17" i="12"/>
  <c r="I18" i="12"/>
  <c r="I19" i="12"/>
  <c r="E21" i="12"/>
  <c r="I24" i="12"/>
  <c r="E25" i="12"/>
  <c r="I27" i="12"/>
  <c r="I28" i="12"/>
  <c r="E29" i="12"/>
  <c r="I32" i="12"/>
  <c r="E33" i="12"/>
  <c r="I35" i="12"/>
  <c r="I36" i="12"/>
  <c r="E37" i="12"/>
  <c r="D21" i="12"/>
  <c r="H23" i="12"/>
  <c r="D25" i="12"/>
  <c r="D29" i="12"/>
  <c r="H31" i="12"/>
  <c r="D33" i="12"/>
  <c r="D37" i="12"/>
  <c r="C21" i="12"/>
  <c r="C25" i="12"/>
  <c r="C29" i="12"/>
  <c r="C33" i="12"/>
  <c r="C37" i="12"/>
  <c r="K18" i="12"/>
  <c r="L19" i="12"/>
  <c r="B21" i="12"/>
  <c r="L22" i="12"/>
  <c r="K23" i="12"/>
  <c r="L24" i="12"/>
  <c r="B25" i="12"/>
  <c r="L26" i="12"/>
  <c r="K27" i="12"/>
  <c r="L28" i="12"/>
  <c r="B29" i="12"/>
  <c r="L30" i="12"/>
  <c r="K31" i="12"/>
  <c r="L32" i="12"/>
  <c r="B33" i="12"/>
  <c r="L34" i="12"/>
  <c r="K35" i="12"/>
  <c r="L36" i="12"/>
  <c r="B37" i="12"/>
  <c r="K17" i="12"/>
  <c r="L5" i="17"/>
  <c r="J5" i="17"/>
  <c r="I5" i="17"/>
  <c r="F5" i="17"/>
  <c r="O5" i="17"/>
  <c r="I14" i="17"/>
  <c r="I7" i="17"/>
  <c r="I11" i="17"/>
  <c r="K33" i="12"/>
  <c r="L33" i="12"/>
  <c r="K25" i="12"/>
  <c r="L25" i="12"/>
  <c r="G37" i="12"/>
  <c r="G33" i="12"/>
  <c r="G21" i="12"/>
  <c r="H33" i="12"/>
  <c r="H25" i="12"/>
  <c r="I37" i="12"/>
  <c r="I29" i="12"/>
  <c r="I21" i="12"/>
  <c r="J29" i="12"/>
  <c r="M17" i="12"/>
  <c r="K59" i="12"/>
  <c r="K37" i="12"/>
  <c r="L37" i="12"/>
  <c r="L29" i="12"/>
  <c r="K29" i="12"/>
  <c r="L21" i="12"/>
  <c r="K21" i="12"/>
  <c r="G29" i="12"/>
  <c r="G25" i="12"/>
  <c r="H37" i="12"/>
  <c r="H29" i="12"/>
  <c r="H21" i="12"/>
  <c r="I33" i="12"/>
  <c r="I25" i="12"/>
  <c r="J37" i="12"/>
  <c r="J33" i="12"/>
  <c r="J25" i="12"/>
  <c r="J21" i="12"/>
  <c r="K50" i="12"/>
  <c r="L50" i="12"/>
  <c r="K46" i="12"/>
  <c r="L46" i="12"/>
  <c r="L60" i="12"/>
  <c r="K47" i="12"/>
  <c r="L43" i="12"/>
  <c r="L54" i="12"/>
  <c r="K42" i="12"/>
  <c r="G59" i="12"/>
  <c r="G19" i="12"/>
  <c r="H28" i="12"/>
  <c r="K58" i="12"/>
  <c r="K53" i="12"/>
  <c r="K49" i="12"/>
  <c r="K45" i="12"/>
  <c r="I5" i="14"/>
  <c r="H5" i="17"/>
  <c r="N5" i="17"/>
  <c r="P5" i="17"/>
  <c r="G32" i="12"/>
  <c r="G24" i="12"/>
  <c r="H32" i="12"/>
  <c r="H24" i="12"/>
  <c r="G35" i="12"/>
  <c r="G31" i="12"/>
  <c r="G27" i="12"/>
  <c r="G23" i="12"/>
  <c r="G18" i="12"/>
  <c r="L55" i="12"/>
  <c r="K61" i="12"/>
  <c r="K56" i="12"/>
  <c r="K52" i="12"/>
  <c r="K48" i="12"/>
  <c r="K44" i="12"/>
  <c r="J5" i="14"/>
  <c r="G36" i="12"/>
  <c r="G28" i="12"/>
  <c r="H36" i="12"/>
  <c r="H19" i="12"/>
  <c r="G17" i="12"/>
  <c r="G34" i="12"/>
  <c r="G30" i="12"/>
  <c r="G26" i="12"/>
  <c r="G22" i="12"/>
  <c r="H17" i="12"/>
  <c r="H34" i="12"/>
  <c r="H30" i="12"/>
  <c r="H26" i="12"/>
  <c r="H22" i="12"/>
  <c r="I17" i="12"/>
  <c r="I34" i="12"/>
  <c r="I30" i="12"/>
  <c r="I26" i="12"/>
  <c r="I22" i="12"/>
  <c r="J17" i="12"/>
  <c r="J34" i="12"/>
  <c r="J30" i="12"/>
  <c r="J26" i="12"/>
  <c r="J22" i="12"/>
  <c r="J60" i="12"/>
  <c r="L5" i="14"/>
  <c r="N18" i="14"/>
  <c r="N14" i="14"/>
  <c r="N10" i="14"/>
  <c r="N6" i="14"/>
  <c r="M19" i="14"/>
  <c r="M15" i="14"/>
  <c r="N11" i="14"/>
  <c r="M7" i="14"/>
  <c r="M14" i="14"/>
  <c r="M11" i="14"/>
  <c r="N19" i="14"/>
  <c r="M10" i="14"/>
  <c r="N21" i="14"/>
  <c r="M17" i="14"/>
  <c r="M13" i="14"/>
  <c r="M9" i="14"/>
  <c r="N15" i="14"/>
  <c r="N7" i="14"/>
  <c r="M18" i="14"/>
  <c r="M6" i="14"/>
  <c r="M20" i="14"/>
  <c r="M16" i="14"/>
  <c r="M12" i="14"/>
  <c r="M8" i="14"/>
  <c r="N9" i="14"/>
  <c r="M21" i="14"/>
  <c r="N20" i="14"/>
  <c r="N16" i="14"/>
  <c r="N12" i="14"/>
  <c r="N8" i="14"/>
  <c r="N5" i="14"/>
  <c r="N17" i="14"/>
  <c r="N13" i="14"/>
  <c r="M5" i="14"/>
  <c r="L61" i="12"/>
  <c r="L52" i="12"/>
  <c r="L48" i="12"/>
  <c r="L44" i="12"/>
  <c r="G61" i="12"/>
  <c r="L56" i="12"/>
  <c r="J61" i="12"/>
  <c r="L13" i="17"/>
  <c r="L19" i="17"/>
  <c r="L15" i="17"/>
  <c r="L11" i="17"/>
  <c r="L7" i="17"/>
  <c r="K18" i="17"/>
  <c r="L18" i="17"/>
  <c r="K5" i="17"/>
  <c r="K14" i="17"/>
  <c r="L14" i="17"/>
  <c r="M5" i="17"/>
  <c r="K17" i="17"/>
  <c r="L17" i="17"/>
  <c r="I15" i="17"/>
  <c r="K20" i="17"/>
  <c r="K16" i="17"/>
  <c r="K8" i="17"/>
  <c r="L20" i="17"/>
  <c r="L16" i="17"/>
  <c r="L8" i="17"/>
  <c r="J19" i="17"/>
  <c r="J15" i="17"/>
  <c r="J11" i="17"/>
  <c r="K19" i="17"/>
  <c r="K15" i="17"/>
  <c r="K11" i="17"/>
  <c r="K7" i="17"/>
  <c r="M19" i="17"/>
  <c r="M15" i="17"/>
  <c r="M11" i="17"/>
  <c r="M7" i="17"/>
  <c r="I19" i="17"/>
  <c r="I17" i="17"/>
  <c r="I13" i="17"/>
  <c r="I20" i="17"/>
  <c r="I18" i="17"/>
  <c r="I16" i="17"/>
  <c r="I10" i="17"/>
  <c r="I8" i="17"/>
  <c r="N6" i="17"/>
  <c r="O6" i="17"/>
  <c r="P6" i="17"/>
  <c r="L9" i="17"/>
  <c r="K13" i="17"/>
  <c r="I21" i="17"/>
  <c r="J14" i="17"/>
  <c r="J6" i="17"/>
  <c r="J18" i="17"/>
  <c r="K6" i="17"/>
  <c r="J21" i="17"/>
  <c r="M6" i="17"/>
  <c r="L21" i="17"/>
  <c r="K21" i="17"/>
  <c r="M8" i="17"/>
  <c r="K10" i="17"/>
  <c r="J16" i="17"/>
  <c r="J17" i="17"/>
  <c r="J20" i="17"/>
  <c r="J13" i="17"/>
  <c r="M12" i="17"/>
  <c r="J8" i="17"/>
  <c r="M18" i="17"/>
  <c r="J10" i="17"/>
  <c r="M9" i="17"/>
  <c r="M14" i="17"/>
  <c r="M10" i="17"/>
  <c r="L12" i="17"/>
  <c r="I12" i="17"/>
  <c r="I6" i="17"/>
  <c r="J7" i="17"/>
  <c r="K12" i="17"/>
  <c r="J12" i="17"/>
  <c r="M20" i="17"/>
  <c r="L6" i="17"/>
  <c r="L10" i="17"/>
  <c r="K9" i="17"/>
  <c r="M16" i="17"/>
  <c r="M17" i="17"/>
  <c r="M21" i="17"/>
  <c r="J9" i="17"/>
  <c r="M13" i="17"/>
  <c r="I9" i="17"/>
  <c r="B52" i="5"/>
  <c r="C52" i="5"/>
  <c r="D52" i="5"/>
  <c r="E52" i="5"/>
  <c r="F52" i="5"/>
  <c r="G52" i="5"/>
  <c r="H52" i="5"/>
  <c r="I52" i="5"/>
  <c r="J52" i="5"/>
  <c r="L52" i="5"/>
  <c r="M52" i="5"/>
  <c r="N52" i="5"/>
  <c r="B53" i="5"/>
  <c r="C53" i="5"/>
  <c r="D53" i="5"/>
  <c r="E53" i="5"/>
  <c r="F53" i="5"/>
  <c r="G53" i="5"/>
  <c r="H53" i="5"/>
  <c r="I53" i="5"/>
  <c r="J53" i="5"/>
  <c r="L53" i="5"/>
  <c r="M53" i="5"/>
  <c r="N53" i="5"/>
  <c r="B54" i="5"/>
  <c r="C54" i="5"/>
  <c r="D54" i="5"/>
  <c r="E54" i="5"/>
  <c r="F54" i="5"/>
  <c r="G54" i="5"/>
  <c r="H54" i="5"/>
  <c r="I54" i="5"/>
  <c r="J54" i="5"/>
  <c r="K4" i="16"/>
  <c r="K54" i="5"/>
  <c r="L54" i="5"/>
  <c r="M54" i="5"/>
  <c r="N54" i="5"/>
  <c r="A53" i="5"/>
  <c r="A54" i="5"/>
  <c r="A52" i="5"/>
  <c r="P4" i="16"/>
  <c r="P54" i="5"/>
  <c r="O54" i="5"/>
  <c r="R4" i="16"/>
  <c r="Q54" i="5"/>
  <c r="R3" i="16"/>
  <c r="Q53" i="5"/>
  <c r="K3" i="16"/>
  <c r="O53" i="5"/>
  <c r="P2" i="16"/>
  <c r="K2" i="16"/>
  <c r="O52" i="5"/>
  <c r="Q2" i="16"/>
  <c r="P52" i="5"/>
  <c r="K53" i="5"/>
  <c r="K52" i="5"/>
  <c r="Q4" i="16"/>
  <c r="S4" i="16"/>
  <c r="R2" i="16"/>
  <c r="P3" i="16"/>
  <c r="P53" i="5"/>
  <c r="A51" i="5"/>
  <c r="B51" i="5"/>
  <c r="C51" i="5"/>
  <c r="D51" i="5"/>
  <c r="E51" i="5"/>
  <c r="F51" i="5"/>
  <c r="G51" i="5"/>
  <c r="H51" i="5"/>
  <c r="I51" i="5"/>
  <c r="K12" i="13"/>
  <c r="N12" i="13"/>
  <c r="N51" i="5"/>
  <c r="K51" i="5"/>
  <c r="J51" i="5"/>
  <c r="A48" i="5"/>
  <c r="B48" i="5"/>
  <c r="C48" i="5"/>
  <c r="D48" i="5"/>
  <c r="E48" i="5"/>
  <c r="F48" i="5"/>
  <c r="G48" i="5"/>
  <c r="H48" i="5"/>
  <c r="I48" i="5"/>
  <c r="A49" i="5"/>
  <c r="B49" i="5"/>
  <c r="C49" i="5"/>
  <c r="D49" i="5"/>
  <c r="E49" i="5"/>
  <c r="F49" i="5"/>
  <c r="G49" i="5"/>
  <c r="H49" i="5"/>
  <c r="I49" i="5"/>
  <c r="A50" i="5"/>
  <c r="B50" i="5"/>
  <c r="C50" i="5"/>
  <c r="D50" i="5"/>
  <c r="E50" i="5"/>
  <c r="F50" i="5"/>
  <c r="G50" i="5"/>
  <c r="H50" i="5"/>
  <c r="I50" i="5"/>
  <c r="R9" i="13"/>
  <c r="N9" i="13"/>
  <c r="N48" i="5"/>
  <c r="P9" i="13"/>
  <c r="P48" i="5"/>
  <c r="Q9" i="13"/>
  <c r="S2" i="16"/>
  <c r="Q52" i="5"/>
  <c r="M9" i="13"/>
  <c r="M48" i="5"/>
  <c r="L9" i="13"/>
  <c r="L48" i="5"/>
  <c r="M12" i="13"/>
  <c r="M51" i="5"/>
  <c r="O51" i="5"/>
  <c r="R12" i="13"/>
  <c r="K48" i="5"/>
  <c r="P12" i="13"/>
  <c r="O48" i="5"/>
  <c r="S9" i="13"/>
  <c r="T9" i="13"/>
  <c r="Q48" i="5"/>
  <c r="J48" i="5"/>
  <c r="L12" i="13"/>
  <c r="L51" i="5"/>
  <c r="Q3" i="16"/>
  <c r="S3" i="16"/>
  <c r="A47" i="5"/>
  <c r="B47" i="5"/>
  <c r="C47" i="5"/>
  <c r="D47" i="5"/>
  <c r="E47" i="5"/>
  <c r="F47" i="5"/>
  <c r="G47" i="5"/>
  <c r="H47" i="5"/>
  <c r="I47" i="5"/>
  <c r="K47" i="5"/>
  <c r="N8" i="13"/>
  <c r="N47" i="5"/>
  <c r="P11" i="13"/>
  <c r="P50" i="5"/>
  <c r="K50" i="5"/>
  <c r="K10" i="13"/>
  <c r="M10" i="13"/>
  <c r="M49" i="5"/>
  <c r="J47" i="5"/>
  <c r="J10" i="13"/>
  <c r="N11" i="13"/>
  <c r="N50" i="5"/>
  <c r="Q12" i="13"/>
  <c r="P51" i="5"/>
  <c r="L10" i="13"/>
  <c r="L49" i="5"/>
  <c r="K49" i="5"/>
  <c r="P10" i="13"/>
  <c r="R10" i="13"/>
  <c r="J49" i="5"/>
  <c r="P8" i="13"/>
  <c r="R8" i="13"/>
  <c r="R11" i="13"/>
  <c r="J50" i="5"/>
  <c r="L11" i="13"/>
  <c r="L50" i="5"/>
  <c r="O50" i="5"/>
  <c r="T12" i="13"/>
  <c r="S12" i="13"/>
  <c r="Q51" i="5"/>
  <c r="N10" i="13"/>
  <c r="N49" i="5"/>
  <c r="M11" i="13"/>
  <c r="M50" i="5"/>
  <c r="Q11" i="13"/>
  <c r="L8" i="13"/>
  <c r="L47" i="5"/>
  <c r="M8" i="13"/>
  <c r="M47" i="5"/>
  <c r="O49" i="5"/>
  <c r="O47" i="5"/>
  <c r="A41" i="5"/>
  <c r="B41" i="5"/>
  <c r="C41" i="5"/>
  <c r="D41" i="5"/>
  <c r="E41" i="5"/>
  <c r="F41" i="5"/>
  <c r="G41" i="5"/>
  <c r="H41" i="5"/>
  <c r="I41" i="5"/>
  <c r="A42" i="5"/>
  <c r="B42" i="5"/>
  <c r="C42" i="5"/>
  <c r="D42" i="5"/>
  <c r="E42" i="5"/>
  <c r="F42" i="5"/>
  <c r="G42" i="5"/>
  <c r="H42" i="5"/>
  <c r="I42" i="5"/>
  <c r="A43" i="5"/>
  <c r="B43" i="5"/>
  <c r="C43" i="5"/>
  <c r="D43" i="5"/>
  <c r="E43" i="5"/>
  <c r="F43" i="5"/>
  <c r="G43" i="5"/>
  <c r="H43" i="5"/>
  <c r="I43" i="5"/>
  <c r="A44" i="5"/>
  <c r="B44" i="5"/>
  <c r="C44" i="5"/>
  <c r="D44" i="5"/>
  <c r="E44" i="5"/>
  <c r="F44" i="5"/>
  <c r="G44" i="5"/>
  <c r="H44" i="5"/>
  <c r="I44" i="5"/>
  <c r="A45" i="5"/>
  <c r="B45" i="5"/>
  <c r="C45" i="5"/>
  <c r="D45" i="5"/>
  <c r="E45" i="5"/>
  <c r="F45" i="5"/>
  <c r="G45" i="5"/>
  <c r="H45" i="5"/>
  <c r="I45" i="5"/>
  <c r="A46" i="5"/>
  <c r="B46" i="5"/>
  <c r="C46" i="5"/>
  <c r="D46" i="5"/>
  <c r="E46" i="5"/>
  <c r="F46" i="5"/>
  <c r="G46" i="5"/>
  <c r="H46" i="5"/>
  <c r="I46" i="5"/>
  <c r="K42" i="5"/>
  <c r="M3" i="13"/>
  <c r="M42" i="5"/>
  <c r="N4" i="13"/>
  <c r="N43" i="5"/>
  <c r="M5" i="13"/>
  <c r="M44" i="5"/>
  <c r="L5" i="13"/>
  <c r="L44" i="5"/>
  <c r="L6" i="13"/>
  <c r="L45" i="5"/>
  <c r="K46" i="5"/>
  <c r="L7" i="13"/>
  <c r="L46" i="5"/>
  <c r="K41" i="5"/>
  <c r="N2" i="13"/>
  <c r="N41" i="5"/>
  <c r="N3" i="13"/>
  <c r="N42" i="5"/>
  <c r="P4" i="13"/>
  <c r="P43" i="5"/>
  <c r="R4" i="13"/>
  <c r="J46" i="5"/>
  <c r="R7" i="13"/>
  <c r="K44" i="5"/>
  <c r="T10" i="13"/>
  <c r="S10" i="13"/>
  <c r="Q49" i="5"/>
  <c r="P5" i="13"/>
  <c r="P44" i="5"/>
  <c r="R5" i="13"/>
  <c r="Q8" i="13"/>
  <c r="P47" i="5"/>
  <c r="J42" i="5"/>
  <c r="R3" i="13"/>
  <c r="N7" i="13"/>
  <c r="N46" i="5"/>
  <c r="M4" i="13"/>
  <c r="M43" i="5"/>
  <c r="S11" i="13"/>
  <c r="T11" i="13"/>
  <c r="Q50" i="5"/>
  <c r="P6" i="13"/>
  <c r="P45" i="5"/>
  <c r="R6" i="13"/>
  <c r="P2" i="13"/>
  <c r="P41" i="5"/>
  <c r="R2" i="13"/>
  <c r="M7" i="13"/>
  <c r="M46" i="5"/>
  <c r="O44" i="5"/>
  <c r="L4" i="13"/>
  <c r="L43" i="5"/>
  <c r="T8" i="13"/>
  <c r="S8" i="13"/>
  <c r="Q47" i="5"/>
  <c r="Q10" i="13"/>
  <c r="P49" i="5"/>
  <c r="Q6" i="13"/>
  <c r="Q5" i="13"/>
  <c r="Q4" i="13"/>
  <c r="J45" i="5"/>
  <c r="J41" i="5"/>
  <c r="J44" i="5"/>
  <c r="K43" i="5"/>
  <c r="O41" i="5"/>
  <c r="L2" i="13"/>
  <c r="L41" i="5"/>
  <c r="O46" i="5"/>
  <c r="L3" i="13"/>
  <c r="L42" i="5"/>
  <c r="J43" i="5"/>
  <c r="M2" i="13"/>
  <c r="M41" i="5"/>
  <c r="O43" i="5"/>
  <c r="O42" i="5"/>
  <c r="P7" i="13"/>
  <c r="P46" i="5"/>
  <c r="P3" i="13"/>
  <c r="P42" i="5"/>
  <c r="K45" i="5"/>
  <c r="O45" i="5"/>
  <c r="N6" i="13"/>
  <c r="N45" i="5"/>
  <c r="M6" i="13"/>
  <c r="M45" i="5"/>
  <c r="N5" i="13"/>
  <c r="N44" i="5"/>
  <c r="F43" i="13"/>
  <c r="K43" i="13"/>
  <c r="F44" i="13"/>
  <c r="F42" i="13"/>
  <c r="I43" i="13"/>
  <c r="I44" i="13"/>
  <c r="N44" i="13"/>
  <c r="I42" i="13"/>
  <c r="H43" i="13"/>
  <c r="H44" i="13"/>
  <c r="M44" i="13"/>
  <c r="H42" i="13"/>
  <c r="M42" i="13"/>
  <c r="G43" i="13"/>
  <c r="L43" i="13"/>
  <c r="G44" i="13"/>
  <c r="L44" i="13"/>
  <c r="G42" i="13"/>
  <c r="L42" i="13"/>
  <c r="K44" i="13"/>
  <c r="K42" i="13"/>
  <c r="S3" i="13"/>
  <c r="T3" i="13"/>
  <c r="Q42" i="5"/>
  <c r="S5" i="13"/>
  <c r="T5" i="13"/>
  <c r="Q44" i="5"/>
  <c r="T4" i="13"/>
  <c r="S4" i="13"/>
  <c r="Q43" i="5"/>
  <c r="M43" i="13"/>
  <c r="S7" i="13"/>
  <c r="T7" i="13"/>
  <c r="Q46" i="5"/>
  <c r="S2" i="13"/>
  <c r="T2" i="13"/>
  <c r="Q41" i="5"/>
  <c r="N43" i="13"/>
  <c r="Q2" i="13"/>
  <c r="S6" i="13"/>
  <c r="T6" i="13"/>
  <c r="Q45" i="5"/>
  <c r="Q7" i="13"/>
  <c r="Q3" i="13"/>
  <c r="N42" i="13"/>
  <c r="L40" i="5"/>
  <c r="M2" i="15"/>
  <c r="M40" i="5"/>
  <c r="N40" i="5"/>
  <c r="O40" i="5"/>
  <c r="K14" i="1"/>
  <c r="K16" i="5"/>
  <c r="K18" i="1"/>
  <c r="K20" i="5"/>
  <c r="K19" i="1"/>
  <c r="K21" i="5"/>
  <c r="P2" i="15"/>
  <c r="Q40" i="5"/>
  <c r="K3" i="1"/>
  <c r="K4" i="1"/>
  <c r="K6" i="5"/>
  <c r="K5" i="1"/>
  <c r="K7" i="5"/>
  <c r="K7" i="1"/>
  <c r="K9" i="5"/>
  <c r="K8" i="1"/>
  <c r="K11" i="5"/>
  <c r="K10" i="1"/>
  <c r="K11" i="1"/>
  <c r="K12" i="1"/>
  <c r="K15" i="5"/>
  <c r="K17" i="5"/>
  <c r="K16" i="1"/>
  <c r="K17" i="1"/>
  <c r="K19" i="5"/>
  <c r="K20" i="1"/>
  <c r="K21" i="1"/>
  <c r="K23" i="5"/>
  <c r="K2" i="1"/>
  <c r="K2" i="15"/>
  <c r="K40" i="5"/>
  <c r="K2" i="10"/>
  <c r="K3" i="12"/>
  <c r="K33" i="5"/>
  <c r="K4" i="12"/>
  <c r="K34" i="5"/>
  <c r="K5" i="12"/>
  <c r="K35" i="5"/>
  <c r="K6" i="12"/>
  <c r="K36" i="5"/>
  <c r="K7" i="12"/>
  <c r="K37" i="5"/>
  <c r="K8" i="12"/>
  <c r="K38" i="5"/>
  <c r="K39" i="5"/>
  <c r="K2" i="12"/>
  <c r="K32" i="5"/>
  <c r="K24" i="5"/>
  <c r="L24" i="5"/>
  <c r="K25" i="5"/>
  <c r="L25" i="5"/>
  <c r="K26" i="5"/>
  <c r="L26" i="5"/>
  <c r="K27" i="5"/>
  <c r="L27" i="5"/>
  <c r="K28" i="5"/>
  <c r="L28" i="5"/>
  <c r="K29" i="5"/>
  <c r="L29" i="5"/>
  <c r="K30" i="5"/>
  <c r="L30" i="5"/>
  <c r="Q2" i="15"/>
  <c r="P40" i="5"/>
  <c r="L2" i="10"/>
  <c r="L31" i="5"/>
  <c r="N2" i="10"/>
  <c r="N31" i="5"/>
  <c r="M2" i="10"/>
  <c r="M31" i="5"/>
  <c r="K31" i="5"/>
  <c r="L8" i="1"/>
  <c r="L10" i="5"/>
  <c r="M8" i="1"/>
  <c r="M10" i="5"/>
  <c r="N8" i="1"/>
  <c r="N10" i="5"/>
  <c r="L20" i="1"/>
  <c r="L22" i="5"/>
  <c r="M20" i="1"/>
  <c r="M22" i="5"/>
  <c r="N20" i="1"/>
  <c r="N22" i="5"/>
  <c r="L12" i="1"/>
  <c r="L14" i="5"/>
  <c r="M12" i="1"/>
  <c r="M14" i="5"/>
  <c r="N12" i="1"/>
  <c r="N14" i="5"/>
  <c r="L19" i="1"/>
  <c r="L21" i="5"/>
  <c r="M19" i="1"/>
  <c r="M21" i="5"/>
  <c r="N19" i="1"/>
  <c r="N21" i="5"/>
  <c r="L11" i="1"/>
  <c r="L13" i="5"/>
  <c r="M11" i="1"/>
  <c r="M13" i="5"/>
  <c r="N11" i="1"/>
  <c r="N13" i="5"/>
  <c r="L3" i="1"/>
  <c r="L4" i="1"/>
  <c r="L5" i="5"/>
  <c r="M3" i="1"/>
  <c r="M4" i="1"/>
  <c r="M5" i="5"/>
  <c r="N3" i="1"/>
  <c r="N4" i="1"/>
  <c r="N5" i="5"/>
  <c r="L10" i="1"/>
  <c r="L12" i="5"/>
  <c r="M10" i="1"/>
  <c r="M12" i="5"/>
  <c r="N10" i="1"/>
  <c r="N12" i="5"/>
  <c r="K13" i="5"/>
  <c r="K5" i="5"/>
  <c r="L16" i="1"/>
  <c r="L18" i="5"/>
  <c r="M16" i="1"/>
  <c r="M18" i="5"/>
  <c r="N16" i="1"/>
  <c r="N18" i="5"/>
  <c r="L6" i="1"/>
  <c r="L6" i="5"/>
  <c r="M6" i="1"/>
  <c r="M6" i="5"/>
  <c r="N6" i="1"/>
  <c r="N6" i="5"/>
  <c r="L15" i="1"/>
  <c r="L17" i="5"/>
  <c r="M15" i="1"/>
  <c r="M17" i="5"/>
  <c r="N15" i="1"/>
  <c r="N17" i="5"/>
  <c r="L7" i="1"/>
  <c r="L9" i="5"/>
  <c r="M7" i="1"/>
  <c r="M9" i="5"/>
  <c r="N7" i="1"/>
  <c r="N9" i="5"/>
  <c r="K10" i="5"/>
  <c r="N2" i="1"/>
  <c r="N4" i="5"/>
  <c r="M2" i="1"/>
  <c r="M4" i="5"/>
  <c r="L2" i="1"/>
  <c r="L4" i="5"/>
  <c r="L18" i="1"/>
  <c r="L20" i="5"/>
  <c r="M18" i="1"/>
  <c r="M20" i="5"/>
  <c r="N18" i="1"/>
  <c r="N20" i="5"/>
  <c r="L14" i="1"/>
  <c r="L16" i="5"/>
  <c r="M14" i="1"/>
  <c r="M16" i="5"/>
  <c r="N14" i="1"/>
  <c r="N16" i="5"/>
  <c r="L5" i="1"/>
  <c r="L8" i="5"/>
  <c r="M5" i="1"/>
  <c r="M8" i="5"/>
  <c r="N5" i="1"/>
  <c r="N8" i="5"/>
  <c r="L21" i="1"/>
  <c r="L23" i="5"/>
  <c r="M21" i="1"/>
  <c r="M23" i="5"/>
  <c r="N21" i="1"/>
  <c r="N23" i="5"/>
  <c r="L17" i="1"/>
  <c r="L19" i="5"/>
  <c r="M17" i="1"/>
  <c r="M19" i="5"/>
  <c r="N17" i="1"/>
  <c r="N19" i="5"/>
  <c r="L13" i="1"/>
  <c r="L15" i="5"/>
  <c r="M13" i="1"/>
  <c r="M15" i="5"/>
  <c r="N13" i="1"/>
  <c r="N15" i="5"/>
  <c r="L9" i="1"/>
  <c r="L11" i="5"/>
  <c r="M9" i="1"/>
  <c r="M11" i="5"/>
  <c r="N9" i="1"/>
  <c r="N11" i="5"/>
  <c r="L7" i="5"/>
  <c r="M7" i="5"/>
  <c r="N7" i="5"/>
  <c r="K22" i="5"/>
  <c r="K18" i="5"/>
  <c r="K14" i="5"/>
  <c r="K12" i="5"/>
  <c r="K8" i="5"/>
  <c r="K4" i="5"/>
  <c r="M6" i="9"/>
  <c r="M28" i="5"/>
  <c r="M5" i="9"/>
  <c r="M27" i="5"/>
  <c r="M4" i="9"/>
  <c r="M26" i="5"/>
  <c r="M2" i="9"/>
  <c r="M24" i="5"/>
  <c r="M8" i="9"/>
  <c r="M30" i="5"/>
  <c r="M7" i="9"/>
  <c r="M29" i="5"/>
  <c r="M3" i="9"/>
  <c r="M25" i="5"/>
  <c r="O3" i="5"/>
  <c r="O2" i="5"/>
  <c r="N3" i="5"/>
  <c r="N2" i="5"/>
  <c r="M2" i="5"/>
  <c r="M3" i="5"/>
  <c r="L3" i="5"/>
  <c r="L2" i="5"/>
  <c r="K3" i="5"/>
  <c r="K2" i="5"/>
  <c r="O8" i="9"/>
  <c r="O30" i="5"/>
  <c r="O6" i="9"/>
  <c r="O28" i="5"/>
  <c r="O5" i="9"/>
  <c r="O27" i="5"/>
  <c r="O23" i="5"/>
  <c r="O22" i="5"/>
  <c r="O21" i="5"/>
  <c r="O20" i="5"/>
  <c r="O19" i="5"/>
  <c r="O18" i="5"/>
  <c r="O17" i="5"/>
  <c r="O16" i="5"/>
  <c r="O15" i="5"/>
  <c r="O14" i="5"/>
  <c r="O13" i="5"/>
  <c r="O12" i="5"/>
  <c r="O11" i="5"/>
  <c r="O10" i="5"/>
  <c r="O9" i="5"/>
  <c r="O8" i="5"/>
  <c r="O7" i="5"/>
  <c r="O6" i="5"/>
  <c r="O5" i="5"/>
  <c r="O4" i="5"/>
  <c r="R44" i="13"/>
  <c r="R43" i="13"/>
  <c r="O31" i="5"/>
  <c r="O39" i="5"/>
  <c r="O38" i="5"/>
  <c r="T43" i="13"/>
  <c r="P44" i="13"/>
  <c r="S44" i="13"/>
  <c r="T44" i="13"/>
  <c r="P42" i="13"/>
  <c r="Q42" i="13"/>
  <c r="R42" i="13"/>
  <c r="P43" i="13"/>
  <c r="O7" i="9"/>
  <c r="O29" i="5"/>
  <c r="O4" i="9"/>
  <c r="O26" i="5"/>
  <c r="O3" i="9"/>
  <c r="O25" i="5"/>
  <c r="O2" i="9"/>
  <c r="O24" i="5"/>
  <c r="J2" i="5"/>
  <c r="J3" i="5"/>
  <c r="J4" i="5"/>
  <c r="J5" i="5"/>
  <c r="J6" i="5"/>
  <c r="J7" i="5"/>
  <c r="J8" i="5"/>
  <c r="J9" i="5"/>
  <c r="J10" i="5"/>
  <c r="J11" i="5"/>
  <c r="J12" i="5"/>
  <c r="J13" i="5"/>
  <c r="J14" i="5"/>
  <c r="J15" i="5"/>
  <c r="J16" i="5"/>
  <c r="J17" i="5"/>
  <c r="J18" i="5"/>
  <c r="J19" i="5"/>
  <c r="J20" i="5"/>
  <c r="J21" i="5"/>
  <c r="J22" i="5"/>
  <c r="J23" i="5"/>
  <c r="J24" i="5"/>
  <c r="J25" i="5"/>
  <c r="J27" i="5"/>
  <c r="J28" i="5"/>
  <c r="J30" i="5"/>
  <c r="J31" i="5"/>
  <c r="J38" i="5"/>
  <c r="J39" i="5"/>
  <c r="J40" i="5"/>
  <c r="I3" i="5"/>
  <c r="I4" i="5"/>
  <c r="I5" i="5"/>
  <c r="I6" i="5"/>
  <c r="I7" i="5"/>
  <c r="I8" i="5"/>
  <c r="I9" i="5"/>
  <c r="I10" i="5"/>
  <c r="I11" i="5"/>
  <c r="I12" i="5"/>
  <c r="I13" i="5"/>
  <c r="I14" i="5"/>
  <c r="I15" i="5"/>
  <c r="I16" i="5"/>
  <c r="I17" i="5"/>
  <c r="I18" i="5"/>
  <c r="I19" i="5"/>
  <c r="I20" i="5"/>
  <c r="I21" i="5"/>
  <c r="I22" i="5"/>
  <c r="I23" i="5"/>
  <c r="I31" i="5"/>
  <c r="I40" i="5"/>
  <c r="Q18" i="5"/>
  <c r="P3" i="1"/>
  <c r="P4" i="1"/>
  <c r="P5" i="5"/>
  <c r="P6" i="1"/>
  <c r="P6" i="5"/>
  <c r="P5" i="1"/>
  <c r="P7" i="5"/>
  <c r="P8" i="5"/>
  <c r="P7" i="1"/>
  <c r="P9" i="5"/>
  <c r="P8" i="1"/>
  <c r="P10" i="5"/>
  <c r="P9" i="1"/>
  <c r="P11" i="5"/>
  <c r="P10" i="1"/>
  <c r="P12" i="5"/>
  <c r="P11" i="1"/>
  <c r="P13" i="5"/>
  <c r="P12" i="1"/>
  <c r="P14" i="5"/>
  <c r="P13" i="1"/>
  <c r="P15" i="5"/>
  <c r="P14" i="1"/>
  <c r="P16" i="5"/>
  <c r="P15" i="1"/>
  <c r="P17" i="5"/>
  <c r="P16" i="1"/>
  <c r="P18" i="5"/>
  <c r="P17" i="1"/>
  <c r="P19" i="5"/>
  <c r="P18" i="1"/>
  <c r="P20" i="5"/>
  <c r="P19" i="1"/>
  <c r="P21" i="5"/>
  <c r="P20" i="1"/>
  <c r="P22" i="5"/>
  <c r="P21" i="1"/>
  <c r="P23" i="5"/>
  <c r="P2" i="1"/>
  <c r="P4" i="5"/>
  <c r="Q44" i="13"/>
  <c r="P3" i="4"/>
  <c r="Q3" i="5"/>
  <c r="Q2" i="5"/>
  <c r="P2" i="4"/>
  <c r="Q2" i="4"/>
  <c r="Q31" i="5"/>
  <c r="P2" i="10"/>
  <c r="O7" i="12"/>
  <c r="O37" i="5"/>
  <c r="O6" i="12"/>
  <c r="O36" i="5"/>
  <c r="O5" i="12"/>
  <c r="O35" i="5"/>
  <c r="O3" i="12"/>
  <c r="O33" i="5"/>
  <c r="O4" i="12"/>
  <c r="O34" i="5"/>
  <c r="O2" i="12"/>
  <c r="O32" i="5"/>
  <c r="Q21" i="5"/>
  <c r="Q13" i="5"/>
  <c r="Q9" i="5"/>
  <c r="Q4" i="5"/>
  <c r="Q16" i="5"/>
  <c r="Q12" i="5"/>
  <c r="Q8" i="5"/>
  <c r="Q2" i="10"/>
  <c r="P31" i="5"/>
  <c r="Q23" i="5"/>
  <c r="Q19" i="5"/>
  <c r="Q15" i="5"/>
  <c r="Q11" i="5"/>
  <c r="Q7" i="5"/>
  <c r="J26" i="5"/>
  <c r="Q17" i="5"/>
  <c r="Q5" i="5"/>
  <c r="Q20" i="5"/>
  <c r="Q3" i="4"/>
  <c r="P3" i="5"/>
  <c r="Q22" i="5"/>
  <c r="Q14" i="5"/>
  <c r="Q10" i="5"/>
  <c r="Q6" i="5"/>
  <c r="J29" i="5"/>
  <c r="T42" i="13"/>
  <c r="S43" i="13"/>
  <c r="J32" i="5"/>
  <c r="J36" i="5"/>
  <c r="J34" i="5"/>
  <c r="J37" i="5"/>
  <c r="J35" i="5"/>
  <c r="J33" i="5"/>
  <c r="Q43" i="13"/>
  <c r="S2" i="15"/>
  <c r="S42" i="13"/>
  <c r="P2" i="5"/>
  <c r="S2" i="4"/>
  <c r="S3" i="4"/>
  <c r="S2" i="10"/>
  <c r="B40" i="5"/>
  <c r="C40" i="5"/>
  <c r="D40" i="5"/>
  <c r="E40" i="5"/>
  <c r="F40" i="5"/>
  <c r="G40" i="5"/>
  <c r="H40" i="5"/>
  <c r="A40" i="5"/>
  <c r="K6" i="14"/>
  <c r="J6" i="14"/>
  <c r="H6" i="14"/>
  <c r="L6" i="14"/>
  <c r="I6" i="14"/>
  <c r="G48" i="12"/>
  <c r="J48" i="12"/>
  <c r="I48" i="12"/>
  <c r="H48" i="12"/>
  <c r="G50" i="12"/>
  <c r="J50" i="12"/>
  <c r="H50" i="12"/>
  <c r="I50" i="12"/>
  <c r="G56" i="12"/>
  <c r="J56" i="12"/>
  <c r="I56" i="12"/>
  <c r="H56" i="12"/>
  <c r="G52" i="12"/>
  <c r="I52" i="12"/>
  <c r="J52" i="12"/>
  <c r="H52" i="12"/>
  <c r="G44" i="12"/>
  <c r="I44" i="12"/>
  <c r="J44" i="12"/>
  <c r="H44" i="12"/>
  <c r="G55" i="12"/>
  <c r="I55" i="12"/>
  <c r="J55" i="12"/>
  <c r="H55" i="12"/>
  <c r="G51" i="12"/>
  <c r="I51" i="12"/>
  <c r="J51" i="12"/>
  <c r="H51" i="12"/>
  <c r="G47" i="12"/>
  <c r="I47" i="12"/>
  <c r="J47" i="12"/>
  <c r="H47" i="12"/>
  <c r="G43" i="12"/>
  <c r="J43" i="12"/>
  <c r="I43" i="12"/>
  <c r="H43" i="12"/>
  <c r="G54" i="12"/>
  <c r="J54" i="12"/>
  <c r="H54" i="12"/>
  <c r="I54" i="12"/>
  <c r="G46" i="12"/>
  <c r="J46" i="12"/>
  <c r="H46" i="12"/>
  <c r="I46" i="12"/>
  <c r="G58" i="12"/>
  <c r="I58" i="12"/>
  <c r="H58" i="12"/>
  <c r="J58" i="12"/>
  <c r="G53" i="12"/>
  <c r="I53" i="12"/>
  <c r="J53" i="12"/>
  <c r="H53" i="12"/>
  <c r="G49" i="12"/>
  <c r="I49" i="12"/>
  <c r="H49" i="12"/>
  <c r="J49" i="12"/>
  <c r="G45" i="12"/>
  <c r="I45" i="12"/>
  <c r="J45" i="12"/>
  <c r="H45" i="12"/>
  <c r="G42" i="12"/>
  <c r="I42" i="12"/>
  <c r="J42" i="12"/>
  <c r="H42" i="12"/>
  <c r="I41" i="12"/>
  <c r="G41" i="12"/>
  <c r="J41" i="12"/>
  <c r="H41" i="12"/>
  <c r="I8" i="14"/>
  <c r="J8" i="14"/>
  <c r="K8" i="14"/>
  <c r="H8" i="14"/>
  <c r="L8" i="14"/>
  <c r="J7" i="14"/>
  <c r="K7" i="14"/>
  <c r="I7" i="14"/>
  <c r="H7" i="14"/>
  <c r="L7" i="14"/>
  <c r="H9" i="14"/>
  <c r="L9" i="14"/>
  <c r="I9" i="14"/>
  <c r="K9" i="14"/>
  <c r="J9" i="14"/>
  <c r="K10" i="14"/>
  <c r="H10" i="14"/>
  <c r="L10" i="14"/>
  <c r="I10" i="14"/>
  <c r="J10" i="14"/>
  <c r="M8" i="12"/>
  <c r="M38" i="5"/>
  <c r="A36" i="5"/>
  <c r="B36" i="5"/>
  <c r="C36" i="5"/>
  <c r="D36" i="5"/>
  <c r="E36" i="5"/>
  <c r="M6" i="12"/>
  <c r="M36" i="5"/>
  <c r="F36" i="5"/>
  <c r="H36" i="5"/>
  <c r="A37" i="5"/>
  <c r="B37" i="5"/>
  <c r="C37" i="5"/>
  <c r="D37" i="5"/>
  <c r="E37" i="5"/>
  <c r="M7" i="12"/>
  <c r="M37" i="5"/>
  <c r="F37" i="5"/>
  <c r="A38" i="5"/>
  <c r="B38" i="5"/>
  <c r="C38" i="5"/>
  <c r="D38" i="5"/>
  <c r="E38" i="5"/>
  <c r="F38" i="5"/>
  <c r="A39" i="5"/>
  <c r="B39" i="5"/>
  <c r="C39" i="5"/>
  <c r="D39" i="5"/>
  <c r="E39" i="5"/>
  <c r="M9" i="12"/>
  <c r="M39" i="5"/>
  <c r="F39" i="5"/>
  <c r="H39" i="5"/>
  <c r="B32" i="5"/>
  <c r="C32" i="5"/>
  <c r="D32" i="5"/>
  <c r="E32" i="5"/>
  <c r="M2" i="12"/>
  <c r="M32" i="5"/>
  <c r="F32" i="5"/>
  <c r="H32" i="5"/>
  <c r="B33" i="5"/>
  <c r="C33" i="5"/>
  <c r="D33" i="5"/>
  <c r="E33" i="5"/>
  <c r="M3" i="12"/>
  <c r="M33" i="5"/>
  <c r="F33" i="5"/>
  <c r="B34" i="5"/>
  <c r="C34" i="5"/>
  <c r="D34" i="5"/>
  <c r="E34" i="5"/>
  <c r="M4" i="12"/>
  <c r="M34" i="5"/>
  <c r="F34" i="5"/>
  <c r="G34" i="5"/>
  <c r="B35" i="5"/>
  <c r="C35" i="5"/>
  <c r="D35" i="5"/>
  <c r="E35" i="5"/>
  <c r="M5" i="12"/>
  <c r="M35" i="5"/>
  <c r="F35" i="5"/>
  <c r="A33" i="5"/>
  <c r="A34" i="5"/>
  <c r="A35" i="5"/>
  <c r="A32" i="5"/>
  <c r="B31" i="5"/>
  <c r="C31" i="5"/>
  <c r="D31" i="5"/>
  <c r="E31" i="5"/>
  <c r="F31" i="5"/>
  <c r="G31" i="5"/>
  <c r="H31" i="5"/>
  <c r="A31" i="5"/>
  <c r="B24" i="5"/>
  <c r="C24" i="5"/>
  <c r="D24" i="5"/>
  <c r="E24" i="5"/>
  <c r="F24" i="5"/>
  <c r="G24" i="5"/>
  <c r="H24" i="5"/>
  <c r="B25" i="5"/>
  <c r="C25" i="5"/>
  <c r="D25" i="5"/>
  <c r="E25" i="5"/>
  <c r="F25" i="5"/>
  <c r="H25" i="5"/>
  <c r="B26" i="5"/>
  <c r="C26" i="5"/>
  <c r="D26" i="5"/>
  <c r="E26" i="5"/>
  <c r="F26" i="5"/>
  <c r="G26" i="5"/>
  <c r="H26" i="5"/>
  <c r="B27" i="5"/>
  <c r="C27" i="5"/>
  <c r="D27" i="5"/>
  <c r="E27" i="5"/>
  <c r="F27" i="5"/>
  <c r="G27" i="5"/>
  <c r="H27" i="5"/>
  <c r="B28" i="5"/>
  <c r="C28" i="5"/>
  <c r="D28" i="5"/>
  <c r="E28" i="5"/>
  <c r="F28" i="5"/>
  <c r="G28" i="5"/>
  <c r="H28" i="5"/>
  <c r="B29" i="5"/>
  <c r="C29" i="5"/>
  <c r="D29" i="5"/>
  <c r="E29" i="5"/>
  <c r="F29" i="5"/>
  <c r="G29" i="5"/>
  <c r="H29" i="5"/>
  <c r="B30" i="5"/>
  <c r="C30" i="5"/>
  <c r="D30" i="5"/>
  <c r="E30" i="5"/>
  <c r="F30" i="5"/>
  <c r="G30" i="5"/>
  <c r="H30" i="5"/>
  <c r="A25" i="5"/>
  <c r="A26" i="5"/>
  <c r="A27" i="5"/>
  <c r="A28" i="5"/>
  <c r="A29" i="5"/>
  <c r="A30" i="5"/>
  <c r="A24" i="5"/>
  <c r="G2" i="5"/>
  <c r="H2" i="5"/>
  <c r="I2" i="5"/>
  <c r="G3" i="5"/>
  <c r="H3" i="5"/>
  <c r="G4" i="5"/>
  <c r="H4" i="5"/>
  <c r="G5" i="5"/>
  <c r="H5" i="5"/>
  <c r="G6" i="5"/>
  <c r="H6" i="5"/>
  <c r="G7" i="5"/>
  <c r="H7" i="5"/>
  <c r="G8" i="5"/>
  <c r="H8" i="5"/>
  <c r="G9" i="5"/>
  <c r="H9" i="5"/>
  <c r="G10" i="5"/>
  <c r="H10" i="5"/>
  <c r="G11" i="5"/>
  <c r="H11" i="5"/>
  <c r="G12" i="5"/>
  <c r="H12" i="5"/>
  <c r="G13" i="5"/>
  <c r="H13" i="5"/>
  <c r="G14" i="5"/>
  <c r="H14" i="5"/>
  <c r="G15" i="5"/>
  <c r="H15" i="5"/>
  <c r="G16" i="5"/>
  <c r="H16" i="5"/>
  <c r="G17" i="5"/>
  <c r="H17" i="5"/>
  <c r="G18" i="5"/>
  <c r="H18" i="5"/>
  <c r="G19" i="5"/>
  <c r="H19" i="5"/>
  <c r="G20" i="5"/>
  <c r="H20" i="5"/>
  <c r="G21" i="5"/>
  <c r="H21" i="5"/>
  <c r="G22" i="5"/>
  <c r="H22" i="5"/>
  <c r="G23" i="5"/>
  <c r="H23" i="5"/>
  <c r="S21" i="1"/>
  <c r="Q21" i="1"/>
  <c r="S20" i="1"/>
  <c r="Q20" i="1"/>
  <c r="S19" i="1"/>
  <c r="Q19" i="1"/>
  <c r="S18" i="1"/>
  <c r="Q18" i="1"/>
  <c r="S17" i="1"/>
  <c r="Q17" i="1"/>
  <c r="S16" i="1"/>
  <c r="Q16" i="1"/>
  <c r="S15" i="1"/>
  <c r="Q15" i="1"/>
  <c r="S14" i="1"/>
  <c r="Q14" i="1"/>
  <c r="S13" i="1"/>
  <c r="Q13" i="1"/>
  <c r="S12" i="1"/>
  <c r="Q12" i="1"/>
  <c r="S11" i="1"/>
  <c r="Q11" i="1"/>
  <c r="S10" i="1"/>
  <c r="Q10" i="1"/>
  <c r="S9" i="1"/>
  <c r="Q9" i="1"/>
  <c r="S8" i="1"/>
  <c r="Q8" i="1"/>
  <c r="S7" i="1"/>
  <c r="Q7" i="1"/>
  <c r="S6" i="1"/>
  <c r="S5" i="1"/>
  <c r="Q6" i="1"/>
  <c r="S3" i="1"/>
  <c r="Q5" i="1"/>
  <c r="S4" i="1"/>
  <c r="Q4" i="1"/>
  <c r="Q3" i="1"/>
  <c r="S2" i="1"/>
  <c r="Q2" i="1"/>
  <c r="B11" i="5"/>
  <c r="A5" i="5"/>
  <c r="B5" i="5"/>
  <c r="C5" i="5"/>
  <c r="D5" i="5"/>
  <c r="E5" i="5"/>
  <c r="F5" i="5"/>
  <c r="A6" i="5"/>
  <c r="B6" i="5"/>
  <c r="C6" i="5"/>
  <c r="D6" i="5"/>
  <c r="E6" i="5"/>
  <c r="F6" i="5"/>
  <c r="A7" i="5"/>
  <c r="B7" i="5"/>
  <c r="C7" i="5"/>
  <c r="D7" i="5"/>
  <c r="E7" i="5"/>
  <c r="F7" i="5"/>
  <c r="A8" i="5"/>
  <c r="B8" i="5"/>
  <c r="C8" i="5"/>
  <c r="D8" i="5"/>
  <c r="E8" i="5"/>
  <c r="F8" i="5"/>
  <c r="A9" i="5"/>
  <c r="B9" i="5"/>
  <c r="C9" i="5"/>
  <c r="D9" i="5"/>
  <c r="E9" i="5"/>
  <c r="F9" i="5"/>
  <c r="A10" i="5"/>
  <c r="B10" i="5"/>
  <c r="C10" i="5"/>
  <c r="D10" i="5"/>
  <c r="E10" i="5"/>
  <c r="F10" i="5"/>
  <c r="A11" i="5"/>
  <c r="C11" i="5"/>
  <c r="D11" i="5"/>
  <c r="E11" i="5"/>
  <c r="F11" i="5"/>
  <c r="A12" i="5"/>
  <c r="B12" i="5"/>
  <c r="C12" i="5"/>
  <c r="D12" i="5"/>
  <c r="E12" i="5"/>
  <c r="F12" i="5"/>
  <c r="A13" i="5"/>
  <c r="B13" i="5"/>
  <c r="C13" i="5"/>
  <c r="D13" i="5"/>
  <c r="E13" i="5"/>
  <c r="F13" i="5"/>
  <c r="A14" i="5"/>
  <c r="B14" i="5"/>
  <c r="C14" i="5"/>
  <c r="D14" i="5"/>
  <c r="E14" i="5"/>
  <c r="F14" i="5"/>
  <c r="A15" i="5"/>
  <c r="B15" i="5"/>
  <c r="C15" i="5"/>
  <c r="D15" i="5"/>
  <c r="E15" i="5"/>
  <c r="F15" i="5"/>
  <c r="A16" i="5"/>
  <c r="B16" i="5"/>
  <c r="C16" i="5"/>
  <c r="D16" i="5"/>
  <c r="E16" i="5"/>
  <c r="F16" i="5"/>
  <c r="A17" i="5"/>
  <c r="B17" i="5"/>
  <c r="C17" i="5"/>
  <c r="D17" i="5"/>
  <c r="E17" i="5"/>
  <c r="F17" i="5"/>
  <c r="A18" i="5"/>
  <c r="B18" i="5"/>
  <c r="C18" i="5"/>
  <c r="D18" i="5"/>
  <c r="E18" i="5"/>
  <c r="F18" i="5"/>
  <c r="A19" i="5"/>
  <c r="B19" i="5"/>
  <c r="C19" i="5"/>
  <c r="D19" i="5"/>
  <c r="E19" i="5"/>
  <c r="F19" i="5"/>
  <c r="A20" i="5"/>
  <c r="B20" i="5"/>
  <c r="C20" i="5"/>
  <c r="D20" i="5"/>
  <c r="E20" i="5"/>
  <c r="F20" i="5"/>
  <c r="A21" i="5"/>
  <c r="B21" i="5"/>
  <c r="C21" i="5"/>
  <c r="D21" i="5"/>
  <c r="E21" i="5"/>
  <c r="F21" i="5"/>
  <c r="A22" i="5"/>
  <c r="B22" i="5"/>
  <c r="C22" i="5"/>
  <c r="D22" i="5"/>
  <c r="E22" i="5"/>
  <c r="F22" i="5"/>
  <c r="A23" i="5"/>
  <c r="B23" i="5"/>
  <c r="C23" i="5"/>
  <c r="D23" i="5"/>
  <c r="E23" i="5"/>
  <c r="F23" i="5"/>
  <c r="A4" i="5"/>
  <c r="B4" i="5"/>
  <c r="C4" i="5"/>
  <c r="D4" i="5"/>
  <c r="E4" i="5"/>
  <c r="F4" i="5"/>
  <c r="B2" i="5"/>
  <c r="C2" i="5"/>
  <c r="D2" i="5"/>
  <c r="E2" i="5"/>
  <c r="F2" i="5"/>
  <c r="B3" i="5"/>
  <c r="C3" i="5"/>
  <c r="D3" i="5"/>
  <c r="E3" i="5"/>
  <c r="F3" i="5"/>
  <c r="A3" i="5"/>
  <c r="A2" i="5"/>
  <c r="N2" i="9"/>
  <c r="N24" i="5"/>
  <c r="I24" i="5"/>
  <c r="N5" i="9"/>
  <c r="N27" i="5"/>
  <c r="I27" i="5"/>
  <c r="P5" i="9"/>
  <c r="G39" i="5"/>
  <c r="P3" i="9"/>
  <c r="N6" i="9"/>
  <c r="N28" i="5"/>
  <c r="I28" i="5"/>
  <c r="P6" i="9"/>
  <c r="G33" i="5"/>
  <c r="N3" i="9"/>
  <c r="N25" i="5"/>
  <c r="I25" i="5"/>
  <c r="N7" i="9"/>
  <c r="N29" i="5"/>
  <c r="P7" i="9"/>
  <c r="I29" i="5"/>
  <c r="G36" i="5"/>
  <c r="P2" i="9"/>
  <c r="N4" i="9"/>
  <c r="N26" i="5"/>
  <c r="I26" i="5"/>
  <c r="P4" i="9"/>
  <c r="N8" i="9"/>
  <c r="N30" i="5"/>
  <c r="P8" i="9"/>
  <c r="I30" i="5"/>
  <c r="G25" i="5"/>
  <c r="G37" i="5"/>
  <c r="G38" i="5"/>
  <c r="J11" i="14"/>
  <c r="K11" i="14"/>
  <c r="I11" i="14"/>
  <c r="H11" i="14"/>
  <c r="L11" i="14"/>
  <c r="H38" i="5"/>
  <c r="H35" i="5"/>
  <c r="H34" i="5"/>
  <c r="H37" i="5"/>
  <c r="N4" i="12"/>
  <c r="N34" i="5"/>
  <c r="I34" i="5"/>
  <c r="L2" i="12"/>
  <c r="L32" i="5"/>
  <c r="P2" i="12"/>
  <c r="N5" i="12"/>
  <c r="N35" i="5"/>
  <c r="I35" i="5"/>
  <c r="L3" i="12"/>
  <c r="L33" i="5"/>
  <c r="P3" i="12"/>
  <c r="N9" i="12"/>
  <c r="N39" i="5"/>
  <c r="I39" i="5"/>
  <c r="N7" i="12"/>
  <c r="N37" i="5"/>
  <c r="I37" i="5"/>
  <c r="N6" i="12"/>
  <c r="N36" i="5"/>
  <c r="I36" i="5"/>
  <c r="L4" i="12"/>
  <c r="L34" i="5"/>
  <c r="P4" i="12"/>
  <c r="N2" i="12"/>
  <c r="N32" i="5"/>
  <c r="I32" i="5"/>
  <c r="L8" i="12"/>
  <c r="L38" i="5"/>
  <c r="P8" i="12"/>
  <c r="L5" i="12"/>
  <c r="L35" i="5"/>
  <c r="P5" i="12"/>
  <c r="G35" i="5"/>
  <c r="H33" i="5"/>
  <c r="N3" i="12"/>
  <c r="N33" i="5"/>
  <c r="I33" i="5"/>
  <c r="G32" i="5"/>
  <c r="L9" i="12"/>
  <c r="L39" i="5"/>
  <c r="P9" i="12"/>
  <c r="L7" i="12"/>
  <c r="L37" i="5"/>
  <c r="P7" i="12"/>
  <c r="L6" i="12"/>
  <c r="L36" i="5"/>
  <c r="P6" i="12"/>
  <c r="N8" i="12"/>
  <c r="N38" i="5"/>
  <c r="I38" i="5"/>
  <c r="P30" i="5"/>
  <c r="Q8" i="9"/>
  <c r="Q24" i="5"/>
  <c r="S2" i="9"/>
  <c r="Q28" i="5"/>
  <c r="S6" i="9"/>
  <c r="P25" i="5"/>
  <c r="Q3" i="9"/>
  <c r="Q26" i="5"/>
  <c r="S4" i="9"/>
  <c r="Q25" i="5"/>
  <c r="S3" i="9"/>
  <c r="P29" i="5"/>
  <c r="Q7" i="9"/>
  <c r="P27" i="5"/>
  <c r="Q5" i="9"/>
  <c r="Q30" i="5"/>
  <c r="S8" i="9"/>
  <c r="Q29" i="5"/>
  <c r="S7" i="9"/>
  <c r="Q6" i="9"/>
  <c r="P28" i="5"/>
  <c r="P26" i="5"/>
  <c r="Q4" i="9"/>
  <c r="Q2" i="9"/>
  <c r="P24" i="5"/>
  <c r="S2" i="12"/>
  <c r="Q27" i="5"/>
  <c r="S5" i="9"/>
  <c r="I12" i="14"/>
  <c r="H12" i="14"/>
  <c r="J12" i="14"/>
  <c r="L12" i="14"/>
  <c r="K12" i="14"/>
  <c r="P35" i="5"/>
  <c r="Q5" i="12"/>
  <c r="Q38" i="5"/>
  <c r="S8" i="12"/>
  <c r="Q32" i="5"/>
  <c r="P39" i="5"/>
  <c r="Q9" i="12"/>
  <c r="P38" i="5"/>
  <c r="Q8" i="12"/>
  <c r="P37" i="5"/>
  <c r="Q7" i="12"/>
  <c r="Q33" i="5"/>
  <c r="S3" i="12"/>
  <c r="P36" i="5"/>
  <c r="Q6" i="12"/>
  <c r="P34" i="5"/>
  <c r="Q4" i="12"/>
  <c r="Q39" i="5"/>
  <c r="S9" i="12"/>
  <c r="Q35" i="5"/>
  <c r="S5" i="12"/>
  <c r="Q34" i="5"/>
  <c r="S4" i="12"/>
  <c r="Q36" i="5"/>
  <c r="S6" i="12"/>
  <c r="Q37" i="5"/>
  <c r="S7" i="12"/>
  <c r="P33" i="5"/>
  <c r="Q3" i="12"/>
  <c r="P32" i="5"/>
  <c r="Q2" i="12"/>
  <c r="H13" i="14"/>
  <c r="L13" i="14"/>
  <c r="I13" i="14"/>
  <c r="J13" i="14"/>
  <c r="K13" i="14"/>
  <c r="K14" i="14"/>
  <c r="H14" i="14"/>
  <c r="L14" i="14"/>
  <c r="J14" i="14"/>
  <c r="I14" i="14"/>
  <c r="J15" i="14"/>
  <c r="I15" i="14"/>
  <c r="K15" i="14"/>
  <c r="H15" i="14"/>
  <c r="L15" i="14"/>
  <c r="I16" i="14"/>
  <c r="J16" i="14"/>
  <c r="L16" i="14"/>
  <c r="K16" i="14"/>
  <c r="H16" i="14"/>
  <c r="H17" i="14"/>
  <c r="L17" i="14"/>
  <c r="K17" i="14"/>
  <c r="I17" i="14"/>
  <c r="J17" i="14"/>
  <c r="K18" i="14"/>
  <c r="I18" i="14"/>
  <c r="H18" i="14"/>
  <c r="L18" i="14"/>
  <c r="J18" i="14"/>
  <c r="J19" i="14"/>
  <c r="K19" i="14"/>
  <c r="H19" i="14"/>
  <c r="I19" i="14"/>
  <c r="L19" i="14"/>
  <c r="I20" i="14"/>
  <c r="L20" i="14"/>
  <c r="J20" i="14"/>
  <c r="K20" i="14"/>
  <c r="H20" i="14"/>
  <c r="H21" i="14"/>
  <c r="L21" i="14"/>
  <c r="I21" i="14"/>
  <c r="K21" i="14"/>
  <c r="J21" i="1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Leonor Guedes da Silva - TNW</author>
  </authors>
  <commentList>
    <comment ref="O2" authorId="0" shapeId="0" xr:uid="{371C287F-BC61-7B4F-995A-DFE00C7324DD}">
      <text>
        <r>
          <rPr>
            <b/>
            <sz val="10"/>
            <color rgb="FF000000"/>
            <rFont val="Tahoma"/>
            <family val="2"/>
          </rPr>
          <t>Leonor Guedes da Silva - TNW:</t>
        </r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>based on Pijuan 2008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Leonor Guedes da Silva - TNW</author>
  </authors>
  <commentList>
    <comment ref="O4" authorId="0" shapeId="0" xr:uid="{E4B65B9B-C8D9-274C-B2C3-91C4014983ED}">
      <text>
        <r>
          <rPr>
            <b/>
            <sz val="10"/>
            <color rgb="FF000000"/>
            <rFont val="Tahoma"/>
            <family val="2"/>
          </rPr>
          <t>Leonor Guedes da Silva - TNW:</t>
        </r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>not closing... something is wrong :(</t>
        </r>
      </text>
    </comment>
  </commentList>
</comments>
</file>

<file path=xl/sharedStrings.xml><?xml version="1.0" encoding="utf-8"?>
<sst xmlns="http://schemas.openxmlformats.org/spreadsheetml/2006/main" count="596" uniqueCount="167">
  <si>
    <t>Gly/Hac (Cmol/Cmol)</t>
  </si>
  <si>
    <t>GAO</t>
  </si>
  <si>
    <t>PAO I</t>
  </si>
  <si>
    <t>PAO I / GAO</t>
  </si>
  <si>
    <t>PAO</t>
  </si>
  <si>
    <t>PAO II</t>
  </si>
  <si>
    <t>PHB/Hac (Cmol/Cmol)</t>
  </si>
  <si>
    <t>PHV/Hac (Cmol/Cmol)</t>
  </si>
  <si>
    <t>ΔC</t>
  </si>
  <si>
    <t>Δe</t>
  </si>
  <si>
    <t>estimated CO2 produced (cmol/cmol)</t>
  </si>
  <si>
    <t>Δe/ΔC</t>
  </si>
  <si>
    <t>????</t>
  </si>
  <si>
    <t>Author</t>
  </si>
  <si>
    <t>Year</t>
  </si>
  <si>
    <t>Enrichment</t>
  </si>
  <si>
    <t>Temperature</t>
  </si>
  <si>
    <t>pH</t>
  </si>
  <si>
    <t>Pereira</t>
  </si>
  <si>
    <t>Erdal</t>
  </si>
  <si>
    <t>Welles</t>
  </si>
  <si>
    <t>1997, 1998</t>
  </si>
  <si>
    <t>Brdjanovic</t>
  </si>
  <si>
    <t>1994, 1995</t>
  </si>
  <si>
    <t>Zhou</t>
  </si>
  <si>
    <t>Acevedo</t>
  </si>
  <si>
    <t>Smolders</t>
  </si>
  <si>
    <t>Tian</t>
  </si>
  <si>
    <t>Zeng</t>
  </si>
  <si>
    <t>Lopez-Vasquez</t>
  </si>
  <si>
    <t>PAO I high polyP</t>
  </si>
  <si>
    <t>PAO I low polyP</t>
  </si>
  <si>
    <t>7-8</t>
  </si>
  <si>
    <t>1996</t>
  </si>
  <si>
    <t>2005</t>
  </si>
  <si>
    <t>2015</t>
  </si>
  <si>
    <t>2008</t>
  </si>
  <si>
    <t>2012</t>
  </si>
  <si>
    <t>2013</t>
  </si>
  <si>
    <t>2003</t>
  </si>
  <si>
    <t>2007</t>
  </si>
  <si>
    <t>2017</t>
  </si>
  <si>
    <t>Δe corrected</t>
  </si>
  <si>
    <t>ΔC corrected</t>
  </si>
  <si>
    <t>Lanham</t>
  </si>
  <si>
    <t>Pijuan</t>
  </si>
  <si>
    <t>23-24</t>
  </si>
  <si>
    <t>7.2-8.5</t>
  </si>
  <si>
    <t>HAc</t>
  </si>
  <si>
    <t>Gly</t>
  </si>
  <si>
    <t>PHB</t>
  </si>
  <si>
    <t>PHV</t>
  </si>
  <si>
    <t>CONFIRM ALL NUMBERS!!!!</t>
  </si>
  <si>
    <t>Yagci</t>
  </si>
  <si>
    <t>PAO / GAO</t>
  </si>
  <si>
    <t>Filipe</t>
  </si>
  <si>
    <t>2001</t>
  </si>
  <si>
    <t>2002</t>
  </si>
  <si>
    <t>Hesselman</t>
  </si>
  <si>
    <t>2000</t>
  </si>
  <si>
    <t>Time</t>
  </si>
  <si>
    <t>Figure 3 - Concentrations in C-mmol/L</t>
  </si>
  <si>
    <t>Figure 4c - Concentrations in C-mmol/L</t>
  </si>
  <si>
    <t>fGLX</t>
  </si>
  <si>
    <t>Gly/Cfed (Cmol/Cmol)</t>
  </si>
  <si>
    <t>PHV/Cfed (Cmol/Cmol)</t>
  </si>
  <si>
    <t>PHB/Cfed (Cmol/Cmol)</t>
  </si>
  <si>
    <t>CO2/Cfed (Cmol/Cmol)</t>
  </si>
  <si>
    <t>Model PAO</t>
  </si>
  <si>
    <t>Model GAO</t>
  </si>
  <si>
    <t>αGAO</t>
  </si>
  <si>
    <t>αATP</t>
  </si>
  <si>
    <t>PH2MV/Cfed (Cmol/Cmol)</t>
  </si>
  <si>
    <t>Carvalheira</t>
  </si>
  <si>
    <t>2014</t>
  </si>
  <si>
    <t>7.2-7.5</t>
  </si>
  <si>
    <t>PH2MV/Hac (Cmol/Cmol)</t>
  </si>
  <si>
    <t>Gly reconciled (Cmol)</t>
  </si>
  <si>
    <t>PHV reconciled (Cmol)</t>
  </si>
  <si>
    <t>PHB reconciled (Cmol)</t>
  </si>
  <si>
    <t>PH2MV reconciled (Cmol)</t>
  </si>
  <si>
    <t>CO2 reconciled (Cmol)</t>
  </si>
  <si>
    <t>Gly std (Cmol)</t>
  </si>
  <si>
    <t>PHV std (Cmol)</t>
  </si>
  <si>
    <t>PHB std (Cmol)</t>
  </si>
  <si>
    <t>PH2MV std (Cmol)</t>
  </si>
  <si>
    <t>CO2 std (Cmol)</t>
  </si>
  <si>
    <t>Ac reconciled (Cmol)</t>
  </si>
  <si>
    <t>Ac std (Cmol)</t>
  </si>
  <si>
    <t>HAc (Cmol)</t>
  </si>
  <si>
    <t>Gly (Cmol)</t>
  </si>
  <si>
    <t>PHV (Cmol)</t>
  </si>
  <si>
    <t>PHB (Cmol)</t>
  </si>
  <si>
    <t>PH2MV (Cmol)</t>
  </si>
  <si>
    <t>Welles high polyP</t>
  </si>
  <si>
    <t>Welles low polyP</t>
  </si>
  <si>
    <t>EBPR sludge PAO</t>
  </si>
  <si>
    <t>EBPR sludge PAO/GAO</t>
  </si>
  <si>
    <t>HAc std (Cmol)</t>
  </si>
  <si>
    <t>Gly/Hac std (Cmol/Cmol)</t>
  </si>
  <si>
    <t>PHB/Hac std (Cmol/Cmol)</t>
  </si>
  <si>
    <t>PH2MV/Hac std (Cmol/Cmol)</t>
  </si>
  <si>
    <t>PHV/Hac std (Cmol/Cmol)</t>
  </si>
  <si>
    <t>HAc/Δt</t>
  </si>
  <si>
    <t>Gly/Δt</t>
  </si>
  <si>
    <t>PHV/Δt</t>
  </si>
  <si>
    <t>PHB/Δt</t>
  </si>
  <si>
    <t>PH2MV/Δt</t>
  </si>
  <si>
    <t>Gly std</t>
  </si>
  <si>
    <t>PHV std</t>
  </si>
  <si>
    <t>PHB std</t>
  </si>
  <si>
    <t>PH2MV std</t>
  </si>
  <si>
    <t>HAc std</t>
  </si>
  <si>
    <t>Acevedo fig3</t>
  </si>
  <si>
    <t>Jeon</t>
  </si>
  <si>
    <t>Lu</t>
  </si>
  <si>
    <t>Oehmen</t>
  </si>
  <si>
    <t>2006</t>
  </si>
  <si>
    <t>2009</t>
  </si>
  <si>
    <t>7.0-8.0</t>
  </si>
  <si>
    <t>Ac (Cmol)</t>
  </si>
  <si>
    <t>GAM stoichiometry</t>
  </si>
  <si>
    <t>PAM</t>
  </si>
  <si>
    <t>CO2 (Cmol)</t>
  </si>
  <si>
    <t>Δe/CmolAc</t>
  </si>
  <si>
    <t>Zhou low Glyc</t>
  </si>
  <si>
    <t>PAO I / PAO II</t>
  </si>
  <si>
    <t>PHV/Cfed (Filipe 2001)</t>
  </si>
  <si>
    <t>PHB/Cfed (Filipe 2001)</t>
  </si>
  <si>
    <t>part of the manuscript:</t>
  </si>
  <si>
    <r>
      <t xml:space="preserve">Revealing metabolic flexibility of </t>
    </r>
    <r>
      <rPr>
        <i/>
        <sz val="14"/>
        <color rgb="FF2E2E2E"/>
        <rFont val="Cambria"/>
        <family val="1"/>
      </rPr>
      <t>Candidatus</t>
    </r>
    <r>
      <rPr>
        <sz val="14"/>
        <color rgb="FF2E2E2E"/>
        <rFont val="Cambria"/>
        <family val="1"/>
      </rPr>
      <t xml:space="preserve"> Accumulibacter phosphatis through redox cofactor analysis and metabolic network modeling </t>
    </r>
  </si>
  <si>
    <t>Running title: Metabolic flexibility of Accumulibacter</t>
  </si>
  <si>
    <t>Leonor Guedes da Silva, Karel Olavarria Gamez, Joana Castro Gomes, Kasper Akkermans,</t>
  </si>
  <si>
    <t>Laurens Welles, Ben Abbas, Mark C.M. van Loosdrecht, Sebastian Aljoscha Wahl</t>
  </si>
  <si>
    <t>Department of Biotechnology, Delft University of Technology, The Netherlands</t>
  </si>
  <si>
    <t>Corresponding Author: Leonor Guedes da Silva</t>
  </si>
  <si>
    <t>Address: Van der Maasweg 9, 2629HZ Delft, The Netherlands</t>
  </si>
  <si>
    <t>Telephone number: +31 15 278 5307</t>
  </si>
  <si>
    <t>E-Mail: LeonorGuedesdaSilva@gmail.com</t>
  </si>
  <si>
    <t>Supplementary Table S5</t>
  </si>
  <si>
    <t>Citation</t>
  </si>
  <si>
    <t>Erdal ZK, Erdal UG, Randall CW. 2005. Biochemistry of enhanced biological phosphorus removal and anaerobic COD stabilization. Water Sci Technol 52:557–567.</t>
  </si>
  <si>
    <t>Welles L, Tian WD, Saad S, Abbas B, Lopez-Vazquez CM, Hooijmans CM, van Loosdrecht MCM, Brdjanovic D. 2015. Accumulibacter clades Type I and II performing kinetically different glycogen-accumulating organisms metabolisms for anaerobic substrate uptake. Water Res 83:354–366.</t>
  </si>
  <si>
    <t>Brdjanovic D, Loosdrecht MCM van, Hooijmans CM, Alaerts GJ, Heijnen JJ. 1997. Temperature Effects on Physiology of Biological Phosphorus Removal. J Environ Eng 123:144–153.</t>
  </si>
  <si>
    <t>Brdjanovic D, Van Loosdrecht MCM, Hooijmans CM, Mino T, Alaerts GJ, Heijnen JJ. 1998. Effect of polyphospbate limitation on the anaerobic metabolism of phosphorus-accumulating microorganisms. Appl Microbiol Biotechnol 50:273–276.</t>
  </si>
  <si>
    <t>Zhou Y, Pijuan M, Zeng RJ, Lu H, Yuan Z. 2008. Could polyphosphate-accumulating organisms (PAOs) be glycogen-accumulating organisms (GAOs)? Water Res 42:2361–2368.</t>
  </si>
  <si>
    <t>Acevedo B, Oehmen A, Carvalho G, Seco A, Borrás L, Barat R. 2012. Metabolic shift of polyphosphate-accumulating organisms with different levels of polyphosphate storage. Water Res 46:1889–900.</t>
  </si>
  <si>
    <t>Smolders GJF, van der Meij J, van Loosdrecht MCM, Heijnen JJ. 1994. Stoichiometric model of the aerobic metabolism of the biological phosphorus removal process. Biotechnol Bioeng 44:837–848.</t>
  </si>
  <si>
    <t>Smolders GJF, Klop JM, van Loosdrecht MCM, Heijnen JJ. 1995. A metabolic model of the biological phosphorus removal process: I. Effect of the sludge retention time. Biotechnol Bioeng 48:222–233.</t>
  </si>
  <si>
    <t>Tian W-D, Lopez-Vazquez CM, Li W-G, Brdjanovic D, van Loosdrecht MCM. 2013. Occurrence of PAOI in a low temperature EBPR system. Chemosphere 92:1314–20.</t>
  </si>
  <si>
    <t>Zeng RJ, Yuan Z, Keller J. 2003. Model-based analysis of anaerobic acetate uptake by a mixed culture of polyphosphate-accumulating and glycogen-accumulating organisms. Biotechnol Bioeng 83:293–302.</t>
  </si>
  <si>
    <t>López-Vázquez CM, Hooijmans CM, Brdjanovic D, Gijzen HJ, van Loosdrecht MCM. 2007. A practical method for quantification of phosphorus- and glycogen-accumulating organism populations in activated sludge systems. Water Environ Res 79:2487–2498.</t>
  </si>
  <si>
    <t>Welles L, Abbas B, Sorokin DY, Lopez-Vazquez CM, Hooijmans CM, van Loosdrecht MCM, Brdjanovic D. 2017. Metabolic Response of “Candidatus Accumulibacter Phosphatis” Clade II C to Changes in Influent P/C Ratio. Front Microbiol 7.</t>
  </si>
  <si>
    <t>Lanham AB. 2012. Full-scale biological phosphorus removal: quantification of storage polymers, microbial performance and metabolic modelling. Universidade Nova de Lisboa.</t>
  </si>
  <si>
    <t>Pijuan M, Saunders AM, Guisasola A, Baeza JA, Casas C, Blackall LL. 2004. Enhanced biological phosphorus removal in a sequencing batch reactor using propionate as the sole carbon source. Biotechnol Bioeng 85:56–67.</t>
  </si>
  <si>
    <t>Yagci N, Artan N, Çokgör EU, Randall CW, Orhon D. 2003. Metabolic model for acetate uptake by a mixed culture of phosphate- and glycogen-accumulating organisms under anaerobic conditions. Biotechnol Bioeng 84:359–373.</t>
  </si>
  <si>
    <t>Filipe CDM, Daigger GT, Grady CPL. 2001. A metabolic model for acetate uptake under anaerobic conditions by glycogen accumulating organisms: Stoichiometry, kinetics, and the effect of pH. Biotechnol Bioeng 76:17–31.</t>
  </si>
  <si>
    <t>Zeng R, Yuan Z, van Loosdrecht MCM, Keller J. 2002. Proposed modifications to metabolic model for glycogen-accumulating organisms under anaerobic conditions. Biotechnol Bioeng 80:277–279.</t>
  </si>
  <si>
    <t>Pereira H, Lemos PC, Reis MAM, Crespo JPSG, Carrondo MJT, Santos H. 1996. Model for carbon metabolism in biological phosphorus removal processes based on in vivo13C-NMR labelling experiments. Water Res 30:2128–2138.</t>
  </si>
  <si>
    <t>Hesselmann RPX, Von Rummell R, Resnick SM, Hany R, Zehnder  a. JB. 2000. Anaerobic metabolism of bacteria performing enhanced biological phosphate removal. Water Res 34:3487–3494.</t>
  </si>
  <si>
    <t>Carvalheira M. 2014. The effect of key process operational conditions on enhanced biological phosphorus removal from wastewater. Universidade Nova de Lisboa.</t>
  </si>
  <si>
    <t>Jeon CO, Lee DS, Lee MW, Park JM. 2001. Enhanced Biological Phosphorus Removal in an Anaerobic-Aerobic Sequencing Batch Reactor: Effect of pH. Water Environ Res 73:301–306.</t>
  </si>
  <si>
    <t>Lu H, Oehmen A, Virdis B, Keller J, Yuan Z. 2006. Obtaining highly enriched cultures of Candidatus Accumulibacter phosphates through alternating carbon sources. Water Res 40:3838–3848.</t>
  </si>
  <si>
    <t>Oehmen A, Yuan Z, Blackall LL, Keller J. 2005. Comparison of acetate and propionate uptake by polyphosphate accumulating organisms and glycogen accumulating organisms. Biotechnol Bioeng 91:162–168.</t>
  </si>
  <si>
    <t>Pijuan M, Oehmen A, Baeza JA, Casas C, Yuan Z. 2008. Characterizing the biochemical activity of full-scale enhanced biological phosphorus removal systems: A comparison with metabolic models. Biotechnol Bioeng 99:170–179.</t>
  </si>
  <si>
    <t>Zhou Y, Pijuan M, Zeng RJ, Yuan Z. 2009. Involvement of the TCA cycle in the anaerobic metabolism of polyphosphate accumulating organisms (PAOs). Water Res 43:1330–1340.</t>
  </si>
  <si>
    <t>Citation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</si>
</sst>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"/>
  </numFmts>
  <fonts count="25">
    <font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rgb="FFFA7D00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10"/>
      <color rgb="FF000000"/>
      <name val="Tahoma"/>
      <family val="2"/>
    </font>
    <font>
      <b/>
      <sz val="10"/>
      <color rgb="FF000000"/>
      <name val="Tahoma"/>
      <family val="2"/>
    </font>
    <font>
      <sz val="12"/>
      <name val="Calibri"/>
      <family val="2"/>
      <scheme val="minor"/>
    </font>
    <font>
      <sz val="12"/>
      <color rgb="FF9C0006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006100"/>
      <name val="Calibri"/>
      <family val="2"/>
      <scheme val="minor"/>
    </font>
    <font>
      <b/>
      <sz val="12"/>
      <color rgb="FF9C0006"/>
      <name val="Calibri"/>
      <family val="2"/>
      <scheme val="minor"/>
    </font>
    <font>
      <sz val="11"/>
      <color rgb="FF000000"/>
      <name val="Cambria"/>
      <family val="1"/>
    </font>
    <font>
      <sz val="14"/>
      <color rgb="FF2E2E2E"/>
      <name val="Cambria"/>
      <family val="1"/>
    </font>
    <font>
      <i/>
      <sz val="14"/>
      <color rgb="FF2E2E2E"/>
      <name val="Cambria"/>
      <family val="1"/>
    </font>
    <font>
      <sz val="11"/>
      <color rgb="FF2E2E2E"/>
      <name val="Times New Roman"/>
      <family val="1"/>
    </font>
    <font>
      <sz val="11"/>
      <color theme="1"/>
      <name val="Times New Roman"/>
      <family val="1"/>
    </font>
    <font>
      <sz val="10"/>
      <color theme="1"/>
      <name val="Times New Roman"/>
      <family val="1"/>
    </font>
    <font>
      <b/>
      <sz val="13"/>
      <color rgb="FF2E2E2E"/>
      <name val="Cambria"/>
      <family val="1"/>
    </font>
    <font>
      <sz val="20"/>
      <color theme="1"/>
      <name val="Cambria"/>
      <family val="1"/>
    </font>
    <font>
      <sz val="12"/>
      <color rgb="FF000000"/>
      <name val="Arial"/>
      <family val="2"/>
    </font>
  </fonts>
  <fills count="1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2F2F2"/>
      </patternFill>
    </fill>
    <fill>
      <patternFill patternType="solid">
        <fgColor rgb="FFFFC7CE"/>
      </patternFill>
    </fill>
    <fill>
      <patternFill patternType="solid">
        <fgColor rgb="FFC6EFCE"/>
      </patternFill>
    </fill>
    <fill>
      <patternFill patternType="solid">
        <fgColor theme="7"/>
        <bgColor indexed="64"/>
      </patternFill>
    </fill>
  </fills>
  <borders count="3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thin">
        <color indexed="64"/>
      </bottom>
      <diagonal/>
    </border>
  </borders>
  <cellStyleXfs count="24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6" fillId="9" borderId="1" applyNumberFormat="0" applyAlignment="0" applyProtection="0"/>
    <xf numFmtId="0" fontId="11" fillId="10" borderId="0" applyNumberFormat="0" applyBorder="0" applyAlignment="0" applyProtection="0"/>
    <xf numFmtId="0" fontId="12" fillId="0" borderId="0"/>
    <xf numFmtId="0" fontId="14" fillId="11" borderId="0" applyNumberFormat="0" applyBorder="0" applyAlignment="0" applyProtection="0"/>
    <xf numFmtId="0" fontId="2" fillId="0" borderId="0" applyNumberFormat="0" applyFill="0" applyBorder="0" applyAlignment="0" applyProtection="0"/>
  </cellStyleXfs>
  <cellXfs count="117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1" fillId="4" borderId="0" xfId="0" applyFont="1" applyFill="1"/>
    <xf numFmtId="0" fontId="0" fillId="6" borderId="0" xfId="0" applyFill="1"/>
    <xf numFmtId="0" fontId="0" fillId="7" borderId="0" xfId="0" applyFill="1"/>
    <xf numFmtId="0" fontId="0" fillId="6" borderId="0" xfId="0" applyFill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2" fontId="0" fillId="0" borderId="0" xfId="0" applyNumberFormat="1"/>
    <xf numFmtId="0" fontId="0" fillId="0" borderId="0" xfId="0" applyAlignment="1">
      <alignment wrapText="1"/>
    </xf>
    <xf numFmtId="0" fontId="1" fillId="0" borderId="0" xfId="0" applyFont="1"/>
    <xf numFmtId="0" fontId="0" fillId="8" borderId="0" xfId="0" applyFill="1" applyAlignment="1">
      <alignment wrapText="1"/>
    </xf>
    <xf numFmtId="0" fontId="0" fillId="8" borderId="0" xfId="0" applyFill="1"/>
    <xf numFmtId="0" fontId="0" fillId="8" borderId="0" xfId="0" applyFill="1" applyAlignment="1">
      <alignment vertical="center"/>
    </xf>
    <xf numFmtId="2" fontId="0" fillId="8" borderId="0" xfId="0" applyNumberFormat="1" applyFill="1"/>
    <xf numFmtId="0" fontId="0" fillId="2" borderId="0" xfId="0" applyFill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5" fillId="8" borderId="0" xfId="0" applyFont="1" applyFill="1" applyAlignment="1">
      <alignment wrapText="1"/>
    </xf>
    <xf numFmtId="165" fontId="0" fillId="8" borderId="0" xfId="0" applyNumberFormat="1" applyFill="1"/>
    <xf numFmtId="2" fontId="0" fillId="2" borderId="0" xfId="0" applyNumberFormat="1" applyFill="1"/>
    <xf numFmtId="165" fontId="0" fillId="2" borderId="0" xfId="0" applyNumberFormat="1" applyFill="1"/>
    <xf numFmtId="0" fontId="0" fillId="4" borderId="0" xfId="0" quotePrefix="1" applyNumberFormat="1" applyFill="1" applyAlignment="1">
      <alignment horizontal="center" vertical="center"/>
    </xf>
    <xf numFmtId="0" fontId="0" fillId="8" borderId="0" xfId="0" quotePrefix="1" applyFill="1"/>
    <xf numFmtId="0" fontId="0" fillId="2" borderId="0" xfId="0" quotePrefix="1" applyFill="1" applyAlignment="1">
      <alignment horizontal="center" vertical="center"/>
    </xf>
    <xf numFmtId="0" fontId="0" fillId="4" borderId="0" xfId="0" quotePrefix="1" applyFill="1" applyAlignment="1">
      <alignment horizontal="center" vertical="center"/>
    </xf>
    <xf numFmtId="0" fontId="0" fillId="5" borderId="0" xfId="0" quotePrefix="1" applyFill="1" applyAlignment="1">
      <alignment horizontal="center" vertical="center"/>
    </xf>
    <xf numFmtId="0" fontId="0" fillId="7" borderId="0" xfId="0" quotePrefix="1" applyFill="1" applyAlignment="1">
      <alignment horizontal="center" vertical="center"/>
    </xf>
    <xf numFmtId="0" fontId="1" fillId="4" borderId="0" xfId="0" quotePrefix="1" applyFont="1" applyFill="1" applyAlignment="1">
      <alignment horizontal="center" vertical="center"/>
    </xf>
    <xf numFmtId="165" fontId="0" fillId="2" borderId="0" xfId="0" applyNumberFormat="1" applyFill="1" applyAlignment="1">
      <alignment horizontal="right"/>
    </xf>
    <xf numFmtId="165" fontId="0" fillId="3" borderId="0" xfId="0" applyNumberFormat="1" applyFill="1" applyAlignment="1">
      <alignment horizontal="right" vertical="center"/>
    </xf>
    <xf numFmtId="165" fontId="0" fillId="4" borderId="0" xfId="0" applyNumberFormat="1" applyFill="1" applyAlignment="1">
      <alignment horizontal="right" vertical="center"/>
    </xf>
    <xf numFmtId="165" fontId="0" fillId="6" borderId="0" xfId="0" applyNumberFormat="1" applyFill="1" applyAlignment="1">
      <alignment horizontal="right" vertical="center"/>
    </xf>
    <xf numFmtId="165" fontId="0" fillId="7" borderId="0" xfId="0" applyNumberFormat="1" applyFill="1" applyAlignment="1">
      <alignment horizontal="right" vertical="center"/>
    </xf>
    <xf numFmtId="165" fontId="0" fillId="2" borderId="0" xfId="0" applyNumberFormat="1" applyFill="1" applyAlignment="1">
      <alignment horizontal="right" vertical="center"/>
    </xf>
    <xf numFmtId="165" fontId="1" fillId="4" borderId="0" xfId="0" applyNumberFormat="1" applyFont="1" applyFill="1" applyAlignment="1">
      <alignment horizontal="right" vertical="center"/>
    </xf>
    <xf numFmtId="0" fontId="0" fillId="3" borderId="0" xfId="0" applyFill="1" applyAlignment="1">
      <alignment horizontal="right" vertical="center"/>
    </xf>
    <xf numFmtId="0" fontId="0" fillId="4" borderId="0" xfId="0" applyFill="1" applyAlignment="1">
      <alignment horizontal="right" vertical="center"/>
    </xf>
    <xf numFmtId="0" fontId="0" fillId="6" borderId="0" xfId="0" applyFill="1" applyAlignment="1">
      <alignment horizontal="right" vertical="center"/>
    </xf>
    <xf numFmtId="0" fontId="0" fillId="7" borderId="0" xfId="0" applyFill="1" applyAlignment="1">
      <alignment horizontal="right" vertical="center"/>
    </xf>
    <xf numFmtId="0" fontId="0" fillId="2" borderId="0" xfId="0" applyFill="1" applyAlignment="1">
      <alignment horizontal="right" vertical="center"/>
    </xf>
    <xf numFmtId="0" fontId="1" fillId="4" borderId="0" xfId="0" applyFont="1" applyFill="1" applyAlignment="1">
      <alignment horizontal="right" vertical="center"/>
    </xf>
    <xf numFmtId="0" fontId="0" fillId="2" borderId="0" xfId="0" applyFill="1" applyAlignment="1">
      <alignment vertical="center"/>
    </xf>
    <xf numFmtId="0" fontId="0" fillId="3" borderId="0" xfId="0" applyFill="1" applyAlignment="1">
      <alignment vertical="center"/>
    </xf>
    <xf numFmtId="0" fontId="0" fillId="4" borderId="0" xfId="0" applyFill="1" applyAlignment="1">
      <alignment vertical="center"/>
    </xf>
    <xf numFmtId="0" fontId="0" fillId="6" borderId="0" xfId="0" applyFill="1" applyAlignment="1">
      <alignment vertical="center"/>
    </xf>
    <xf numFmtId="0" fontId="0" fillId="7" borderId="0" xfId="0" applyFill="1" applyAlignment="1">
      <alignment vertical="center"/>
    </xf>
    <xf numFmtId="0" fontId="1" fillId="4" borderId="0" xfId="0" applyFont="1" applyFill="1" applyAlignment="1">
      <alignment vertical="center"/>
    </xf>
    <xf numFmtId="2" fontId="1" fillId="0" borderId="0" xfId="0" applyNumberFormat="1" applyFont="1"/>
    <xf numFmtId="0" fontId="4" fillId="0" borderId="0" xfId="0" applyFont="1" applyAlignment="1">
      <alignment horizontal="center" wrapText="1"/>
    </xf>
    <xf numFmtId="0" fontId="0" fillId="0" borderId="0" xfId="0" applyAlignment="1">
      <alignment horizontal="left"/>
    </xf>
    <xf numFmtId="49" fontId="0" fillId="0" borderId="0" xfId="0" applyNumberFormat="1" applyAlignment="1">
      <alignment horizontal="left"/>
    </xf>
    <xf numFmtId="2" fontId="0" fillId="0" borderId="0" xfId="0" applyNumberFormat="1" applyAlignment="1">
      <alignment horizontal="right"/>
    </xf>
    <xf numFmtId="0" fontId="0" fillId="0" borderId="0" xfId="0" applyAlignment="1">
      <alignment horizontal="right"/>
    </xf>
    <xf numFmtId="0" fontId="6" fillId="9" borderId="1" xfId="19" applyAlignment="1">
      <alignment horizontal="center" wrapText="1"/>
    </xf>
    <xf numFmtId="2" fontId="6" fillId="9" borderId="1" xfId="19" applyNumberFormat="1" applyAlignment="1">
      <alignment horizontal="right"/>
    </xf>
    <xf numFmtId="2" fontId="6" fillId="9" borderId="1" xfId="19" applyNumberFormat="1"/>
    <xf numFmtId="2" fontId="7" fillId="9" borderId="1" xfId="19" applyNumberFormat="1" applyFont="1"/>
    <xf numFmtId="2" fontId="10" fillId="8" borderId="0" xfId="0" applyNumberFormat="1" applyFont="1" applyFill="1"/>
    <xf numFmtId="0" fontId="12" fillId="0" borderId="0" xfId="21"/>
    <xf numFmtId="2" fontId="11" fillId="10" borderId="0" xfId="20" applyNumberFormat="1"/>
    <xf numFmtId="2" fontId="12" fillId="0" borderId="0" xfId="21" applyNumberFormat="1"/>
    <xf numFmtId="0" fontId="0" fillId="8" borderId="0" xfId="0" quotePrefix="1" applyFill="1" applyAlignment="1">
      <alignment vertical="center"/>
    </xf>
    <xf numFmtId="0" fontId="14" fillId="11" borderId="0" xfId="22"/>
    <xf numFmtId="2" fontId="1" fillId="5" borderId="0" xfId="0" applyNumberFormat="1" applyFont="1" applyFill="1"/>
    <xf numFmtId="0" fontId="11" fillId="10" borderId="0" xfId="20" applyAlignment="1">
      <alignment wrapText="1"/>
    </xf>
    <xf numFmtId="165" fontId="11" fillId="10" borderId="0" xfId="20" applyNumberFormat="1"/>
    <xf numFmtId="0" fontId="11" fillId="10" borderId="0" xfId="20"/>
    <xf numFmtId="164" fontId="0" fillId="2" borderId="0" xfId="0" applyNumberFormat="1" applyFill="1"/>
    <xf numFmtId="2" fontId="0" fillId="3" borderId="0" xfId="0" applyNumberFormat="1" applyFill="1"/>
    <xf numFmtId="0" fontId="4" fillId="8" borderId="0" xfId="0" applyFont="1" applyFill="1" applyAlignment="1">
      <alignment wrapText="1"/>
    </xf>
    <xf numFmtId="2" fontId="0" fillId="3" borderId="0" xfId="0" applyNumberFormat="1" applyFill="1" applyAlignment="1">
      <alignment horizontal="right" vertical="center"/>
    </xf>
    <xf numFmtId="2" fontId="0" fillId="4" borderId="0" xfId="0" applyNumberFormat="1" applyFill="1" applyAlignment="1">
      <alignment horizontal="right" vertical="center"/>
    </xf>
    <xf numFmtId="2" fontId="0" fillId="6" borderId="0" xfId="0" applyNumberFormat="1" applyFill="1" applyAlignment="1">
      <alignment horizontal="right" vertical="center"/>
    </xf>
    <xf numFmtId="2" fontId="0" fillId="7" borderId="0" xfId="0" applyNumberFormat="1" applyFill="1" applyAlignment="1">
      <alignment horizontal="right" vertical="center"/>
    </xf>
    <xf numFmtId="2" fontId="0" fillId="2" borderId="0" xfId="0" applyNumberFormat="1" applyFill="1" applyAlignment="1">
      <alignment horizontal="right" vertical="center"/>
    </xf>
    <xf numFmtId="2" fontId="1" fillId="4" borderId="0" xfId="0" applyNumberFormat="1" applyFont="1" applyFill="1" applyAlignment="1">
      <alignment horizontal="right" vertical="center"/>
    </xf>
    <xf numFmtId="164" fontId="0" fillId="0" borderId="0" xfId="0" applyNumberFormat="1" applyAlignment="1">
      <alignment horizontal="right"/>
    </xf>
    <xf numFmtId="164" fontId="1" fillId="0" borderId="0" xfId="0" applyNumberFormat="1" applyFont="1"/>
    <xf numFmtId="164" fontId="0" fillId="0" borderId="0" xfId="0" applyNumberFormat="1"/>
    <xf numFmtId="165" fontId="11" fillId="10" borderId="0" xfId="20" applyNumberFormat="1" applyAlignment="1">
      <alignment horizontal="right"/>
    </xf>
    <xf numFmtId="0" fontId="15" fillId="10" borderId="0" xfId="20" applyFont="1" applyAlignment="1">
      <alignment horizontal="center" wrapText="1"/>
    </xf>
    <xf numFmtId="2" fontId="11" fillId="8" borderId="0" xfId="20" applyNumberFormat="1" applyFill="1"/>
    <xf numFmtId="0" fontId="11" fillId="10" borderId="0" xfId="20" applyAlignment="1">
      <alignment horizontal="center" wrapText="1"/>
    </xf>
    <xf numFmtId="164" fontId="11" fillId="10" borderId="0" xfId="20" applyNumberFormat="1" applyAlignment="1">
      <alignment horizontal="right"/>
    </xf>
    <xf numFmtId="164" fontId="11" fillId="10" borderId="0" xfId="20" applyNumberFormat="1"/>
    <xf numFmtId="0" fontId="4" fillId="8" borderId="0" xfId="0" applyFont="1" applyFill="1" applyAlignment="1"/>
    <xf numFmtId="0" fontId="0" fillId="12" borderId="0" xfId="0" applyFill="1"/>
    <xf numFmtId="164" fontId="0" fillId="12" borderId="0" xfId="0" applyNumberFormat="1" applyFill="1"/>
    <xf numFmtId="2" fontId="0" fillId="12" borderId="0" xfId="0" applyNumberFormat="1" applyFill="1"/>
    <xf numFmtId="165" fontId="0" fillId="3" borderId="0" xfId="0" applyNumberFormat="1" applyFill="1"/>
    <xf numFmtId="165" fontId="0" fillId="12" borderId="0" xfId="0" applyNumberFormat="1" applyFill="1"/>
    <xf numFmtId="0" fontId="12" fillId="0" borderId="0" xfId="21" applyFill="1"/>
    <xf numFmtId="0" fontId="0" fillId="0" borderId="0" xfId="0" quotePrefix="1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2" fontId="1" fillId="0" borderId="0" xfId="0" applyNumberFormat="1" applyFont="1" applyFill="1"/>
    <xf numFmtId="2" fontId="11" fillId="0" borderId="0" xfId="20" applyNumberFormat="1" applyFill="1"/>
    <xf numFmtId="2" fontId="0" fillId="0" borderId="0" xfId="0" applyNumberFormat="1" applyFill="1"/>
    <xf numFmtId="165" fontId="0" fillId="0" borderId="0" xfId="0" applyNumberFormat="1" applyFill="1"/>
    <xf numFmtId="2" fontId="12" fillId="0" borderId="0" xfId="21" applyNumberFormat="1" applyFill="1"/>
    <xf numFmtId="0" fontId="23" fillId="8" borderId="0" xfId="0" applyFont="1" applyFill="1"/>
    <xf numFmtId="0" fontId="16" fillId="8" borderId="0" xfId="0" applyFont="1" applyFill="1" applyAlignment="1">
      <alignment horizontal="justify" vertical="center"/>
    </xf>
    <xf numFmtId="0" fontId="17" fillId="8" borderId="0" xfId="0" applyFont="1" applyFill="1" applyAlignment="1">
      <alignment horizontal="justify" vertical="center"/>
    </xf>
    <xf numFmtId="0" fontId="19" fillId="8" borderId="0" xfId="0" applyFont="1" applyFill="1" applyAlignment="1">
      <alignment horizontal="justify" vertical="center"/>
    </xf>
    <xf numFmtId="0" fontId="20" fillId="8" borderId="0" xfId="0" applyFont="1" applyFill="1" applyAlignment="1">
      <alignment horizontal="center" vertical="center"/>
    </xf>
    <xf numFmtId="0" fontId="21" fillId="8" borderId="0" xfId="0" applyFont="1" applyFill="1" applyAlignment="1">
      <alignment horizontal="center" vertical="center"/>
    </xf>
    <xf numFmtId="0" fontId="2" fillId="8" borderId="0" xfId="23" applyFill="1" applyAlignment="1">
      <alignment horizontal="center" vertical="center"/>
    </xf>
    <xf numFmtId="0" fontId="22" fillId="8" borderId="0" xfId="0" applyFont="1" applyFill="1" applyAlignment="1">
      <alignment horizontal="left" vertical="center" indent="2"/>
    </xf>
    <xf numFmtId="0" fontId="4" fillId="8" borderId="0" xfId="0" applyFont="1" applyFill="1" applyAlignment="1">
      <alignment horizontal="center"/>
    </xf>
    <xf numFmtId="0" fontId="13" fillId="0" borderId="0" xfId="21" applyFont="1" applyAlignment="1">
      <alignment horizontal="center"/>
    </xf>
    <xf numFmtId="0" fontId="0" fillId="8" borderId="0" xfId="0" applyFill="1" applyAlignment="1">
      <alignment horizontal="center"/>
    </xf>
    <xf numFmtId="0" fontId="4" fillId="0" borderId="2" xfId="0" applyFont="1" applyBorder="1" applyAlignment="1">
      <alignment horizontal="left" wrapText="1"/>
    </xf>
    <xf numFmtId="0" fontId="24" fillId="0" borderId="0" xfId="0" applyFont="1"/>
    <xf numFmtId="0" fontId="24" fillId="0" borderId="0" xfId="0" applyFont="1" applyAlignment="1">
      <alignment horizontal="justify" vertical="center"/>
    </xf>
  </cellXfs>
  <cellStyles count="24">
    <cellStyle name="Bad" xfId="20" builtinId="27"/>
    <cellStyle name="Calculation" xfId="19" builtinId="22"/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Good" xfId="22" builtinId="26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23" builtinId="8"/>
    <cellStyle name="Normal" xfId="0" builtinId="0"/>
    <cellStyle name="Normal 2" xfId="21" xr:uid="{A3856775-152A-0643-9775-A811A002EE76}"/>
  </cellStyles>
  <dxfs count="1">
    <dxf>
      <font>
        <color rgb="FF9C0006"/>
      </font>
    </dxf>
  </dxfs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3694478842963604E-2"/>
          <c:y val="6.5000000000000002E-2"/>
          <c:w val="0.86563798219584598"/>
          <c:h val="0.85397480314960605"/>
        </c:manualLayout>
      </c:layout>
      <c:scatterChart>
        <c:scatterStyle val="lineMarker"/>
        <c:varyColors val="0"/>
        <c:ser>
          <c:idx val="0"/>
          <c:order val="0"/>
          <c:tx>
            <c:strRef>
              <c:f>All!$Q$1</c:f>
              <c:strCache>
                <c:ptCount val="1"/>
                <c:pt idx="0">
                  <c:v>Δe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0.23503266513083246"/>
                  <c:y val="0.57445578231292516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9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l-GR" baseline="0"/>
                      <a:t>Δ</a:t>
                    </a:r>
                    <a:r>
                      <a:rPr lang="en-US" baseline="0"/>
                      <a:t>e = 4.3 </a:t>
                    </a:r>
                    <a:r>
                      <a:rPr lang="el-GR" baseline="0"/>
                      <a:t>Δ</a:t>
                    </a:r>
                    <a:r>
                      <a:rPr lang="en-US" baseline="0"/>
                      <a:t>C + 0.8</a:t>
                    </a:r>
                    <a:br>
                      <a:rPr lang="en-US" baseline="0"/>
                    </a:br>
                    <a:r>
                      <a:rPr lang="en-US" baseline="0"/>
                      <a:t>R² = 0.98</a:t>
                    </a:r>
                    <a:endParaRPr lang="en-US"/>
                  </a:p>
                </c:rich>
              </c:tx>
              <c:numFmt formatCode="General" sourceLinked="0"/>
              <c:spPr>
                <a:solidFill>
                  <a:schemeClr val="bg1"/>
                </a:solidFill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NL"/>
                </a:p>
              </c:txPr>
            </c:trendlineLbl>
          </c:trendline>
          <c:xVal>
            <c:numRef>
              <c:f>All!$P$2:$P$54</c:f>
              <c:numCache>
                <c:formatCode>0.00</c:formatCode>
                <c:ptCount val="53"/>
                <c:pt idx="0">
                  <c:v>1.94806493506493E-2</c:v>
                </c:pt>
                <c:pt idx="1">
                  <c:v>-0.43629332046332048</c:v>
                </c:pt>
                <c:pt idx="2" formatCode="General">
                  <c:v>-0.48997000000000002</c:v>
                </c:pt>
                <c:pt idx="3" formatCode="General">
                  <c:v>-0.46997</c:v>
                </c:pt>
                <c:pt idx="4" formatCode="General">
                  <c:v>-0.45997000000000021</c:v>
                </c:pt>
                <c:pt idx="5" formatCode="General">
                  <c:v>-0.28997000000000006</c:v>
                </c:pt>
                <c:pt idx="6" formatCode="General">
                  <c:v>7.0030000000000064E-2</c:v>
                </c:pt>
                <c:pt idx="7" formatCode="General">
                  <c:v>-0.81997000000000009</c:v>
                </c:pt>
                <c:pt idx="8" formatCode="General">
                  <c:v>-0.62996999999999992</c:v>
                </c:pt>
                <c:pt idx="9" formatCode="General">
                  <c:v>6.0029999999999833E-2</c:v>
                </c:pt>
                <c:pt idx="10" formatCode="General">
                  <c:v>-0.20996999999999996</c:v>
                </c:pt>
                <c:pt idx="11" formatCode="General">
                  <c:v>-0.32997000000000032</c:v>
                </c:pt>
                <c:pt idx="12" formatCode="General">
                  <c:v>-0.16996999999999993</c:v>
                </c:pt>
                <c:pt idx="13" formatCode="General">
                  <c:v>-0.10996999999999987</c:v>
                </c:pt>
                <c:pt idx="14" formatCode="General">
                  <c:v>-0.28997000000000028</c:v>
                </c:pt>
                <c:pt idx="15" formatCode="General">
                  <c:v>-0.12997000000000011</c:v>
                </c:pt>
                <c:pt idx="16" formatCode="General">
                  <c:v>-0.46996999999999978</c:v>
                </c:pt>
                <c:pt idx="17" formatCode="General">
                  <c:v>-0.60996999999999968</c:v>
                </c:pt>
                <c:pt idx="18" formatCode="General">
                  <c:v>-0.49997000000000003</c:v>
                </c:pt>
                <c:pt idx="19" formatCode="General">
                  <c:v>-0.78997000000000006</c:v>
                </c:pt>
                <c:pt idx="20" formatCode="General">
                  <c:v>-0.74997000000000003</c:v>
                </c:pt>
                <c:pt idx="21" formatCode="General">
                  <c:v>-0.56997000000000009</c:v>
                </c:pt>
                <c:pt idx="22">
                  <c:v>-0.39999999999999991</c:v>
                </c:pt>
                <c:pt idx="23">
                  <c:v>-0.20000000000000007</c:v>
                </c:pt>
                <c:pt idx="24">
                  <c:v>0.40000000000000008</c:v>
                </c:pt>
                <c:pt idx="25">
                  <c:v>8.2018000000000299E-2</c:v>
                </c:pt>
                <c:pt idx="26">
                  <c:v>1.3000000000000001E-5</c:v>
                </c:pt>
                <c:pt idx="27">
                  <c:v>-0.6857142857142855</c:v>
                </c:pt>
                <c:pt idx="28">
                  <c:v>-8.8877777777777792E-2</c:v>
                </c:pt>
                <c:pt idx="29">
                  <c:v>-0.43597000000000008</c:v>
                </c:pt>
                <c:pt idx="30" formatCode="General">
                  <c:v>-0.32500000000000001</c:v>
                </c:pt>
                <c:pt idx="31" formatCode="General">
                  <c:v>-0.30999999999999989</c:v>
                </c:pt>
                <c:pt idx="32" formatCode="General">
                  <c:v>-0.21000000000000002</c:v>
                </c:pt>
                <c:pt idx="33" formatCode="General">
                  <c:v>-0.24499999999999991</c:v>
                </c:pt>
                <c:pt idx="34" formatCode="General">
                  <c:v>-0.2309999999999999</c:v>
                </c:pt>
                <c:pt idx="35" formatCode="General">
                  <c:v>-0.29299999999999976</c:v>
                </c:pt>
                <c:pt idx="36" formatCode="General">
                  <c:v>-0.21996999999999997</c:v>
                </c:pt>
                <c:pt idx="37" formatCode="General">
                  <c:v>-0.17996999999999994</c:v>
                </c:pt>
                <c:pt idx="38" formatCode="General">
                  <c:v>9.9999999999999853E-2</c:v>
                </c:pt>
                <c:pt idx="39" formatCode="General">
                  <c:v>-1.9969999999999797E-2</c:v>
                </c:pt>
                <c:pt idx="40" formatCode="General">
                  <c:v>1.0030000000000009E-2</c:v>
                </c:pt>
                <c:pt idx="41" formatCode="General">
                  <c:v>-4.996999999999982E-2</c:v>
                </c:pt>
                <c:pt idx="42" formatCode="General">
                  <c:v>-4.9970000000000042E-2</c:v>
                </c:pt>
                <c:pt idx="43" formatCode="General">
                  <c:v>-5.9970000000000051E-2</c:v>
                </c:pt>
                <c:pt idx="44" formatCode="General">
                  <c:v>-4.9970000000000042E-2</c:v>
                </c:pt>
                <c:pt idx="45" formatCode="General">
                  <c:v>0.22002999999999998</c:v>
                </c:pt>
                <c:pt idx="46" formatCode="General">
                  <c:v>-0.21996999999999997</c:v>
                </c:pt>
                <c:pt idx="47" formatCode="General">
                  <c:v>-0.20996999999999996</c:v>
                </c:pt>
                <c:pt idx="48" formatCode="General">
                  <c:v>-2.9970000000000028E-2</c:v>
                </c:pt>
                <c:pt idx="49" formatCode="General">
                  <c:v>-0.32996999999999987</c:v>
                </c:pt>
                <c:pt idx="50" formatCode="General">
                  <c:v>-0.17999999999999994</c:v>
                </c:pt>
                <c:pt idx="51" formatCode="General">
                  <c:v>-0.17000000000000004</c:v>
                </c:pt>
                <c:pt idx="52" formatCode="General">
                  <c:v>-0.17800000000000005</c:v>
                </c:pt>
              </c:numCache>
            </c:numRef>
          </c:xVal>
          <c:yVal>
            <c:numRef>
              <c:f>All!$Q$2:$Q$54</c:f>
              <c:numCache>
                <c:formatCode>0.00</c:formatCode>
                <c:ptCount val="53"/>
                <c:pt idx="0">
                  <c:v>0.7662344155844153</c:v>
                </c:pt>
                <c:pt idx="1">
                  <c:v>-1.2084936293436299</c:v>
                </c:pt>
                <c:pt idx="2" formatCode="General">
                  <c:v>-1.1558499999999996</c:v>
                </c:pt>
                <c:pt idx="3" formatCode="General">
                  <c:v>-1.0288500000000007</c:v>
                </c:pt>
                <c:pt idx="4" formatCode="General">
                  <c:v>-0.92785000000000173</c:v>
                </c:pt>
                <c:pt idx="5" formatCode="General">
                  <c:v>-0.1458499999999999</c:v>
                </c:pt>
                <c:pt idx="6" formatCode="General">
                  <c:v>0.98715000000000008</c:v>
                </c:pt>
                <c:pt idx="7" formatCode="General">
                  <c:v>-2.4388500000000009</c:v>
                </c:pt>
                <c:pt idx="8" formatCode="General">
                  <c:v>-2.1168499999999995</c:v>
                </c:pt>
                <c:pt idx="9" formatCode="General">
                  <c:v>1.1351499999999999</c:v>
                </c:pt>
                <c:pt idx="10" formatCode="General">
                  <c:v>-0.19384999999999994</c:v>
                </c:pt>
                <c:pt idx="11" formatCode="General">
                  <c:v>-0.33185000000000076</c:v>
                </c:pt>
                <c:pt idx="12" formatCode="General">
                  <c:v>2.1149999999999908E-2</c:v>
                </c:pt>
                <c:pt idx="13" formatCode="General">
                  <c:v>0.31914999999999993</c:v>
                </c:pt>
                <c:pt idx="14" formatCode="General">
                  <c:v>-4.8850000000000379E-2</c:v>
                </c:pt>
                <c:pt idx="15" formatCode="General">
                  <c:v>0.6721499999999988</c:v>
                </c:pt>
                <c:pt idx="16" formatCode="General">
                  <c:v>-1.0138499999999993</c:v>
                </c:pt>
                <c:pt idx="17" formatCode="General">
                  <c:v>-1.5568499999999985</c:v>
                </c:pt>
                <c:pt idx="18" formatCode="General">
                  <c:v>-1.2628499999999998</c:v>
                </c:pt>
                <c:pt idx="19" formatCode="General">
                  <c:v>-2.4968499999999998</c:v>
                </c:pt>
                <c:pt idx="20" formatCode="General">
                  <c:v>-2.3878500000000007</c:v>
                </c:pt>
                <c:pt idx="21" formatCode="General">
                  <c:v>-1.6988500000000006</c:v>
                </c:pt>
                <c:pt idx="22">
                  <c:v>-1.146399999999999</c:v>
                </c:pt>
                <c:pt idx="23">
                  <c:v>-0.3050000000000001</c:v>
                </c:pt>
                <c:pt idx="24">
                  <c:v>2.5679999999999996</c:v>
                </c:pt>
                <c:pt idx="25">
                  <c:v>1.3918900000000007</c:v>
                </c:pt>
                <c:pt idx="26">
                  <c:v>0.71636500000000036</c:v>
                </c:pt>
                <c:pt idx="27">
                  <c:v>-2.3349999999999995</c:v>
                </c:pt>
                <c:pt idx="28">
                  <c:v>0.2833888888888883</c:v>
                </c:pt>
                <c:pt idx="29">
                  <c:v>-1.1648499999999999</c:v>
                </c:pt>
                <c:pt idx="30" formatCode="General">
                  <c:v>-0.6100000000000001</c:v>
                </c:pt>
                <c:pt idx="31" formatCode="General">
                  <c:v>-0.58000000000000074</c:v>
                </c:pt>
                <c:pt idx="32" formatCode="General">
                  <c:v>-0.12999999999999973</c:v>
                </c:pt>
                <c:pt idx="33" formatCode="General">
                  <c:v>-0.30999999999999994</c:v>
                </c:pt>
                <c:pt idx="34" formatCode="General">
                  <c:v>7.999999999999996E-2</c:v>
                </c:pt>
                <c:pt idx="35" formatCode="General">
                  <c:v>-7.0000000000000229E-2</c:v>
                </c:pt>
                <c:pt idx="36" formatCode="General">
                  <c:v>-9.849999999999786E-3</c:v>
                </c:pt>
                <c:pt idx="37" formatCode="General">
                  <c:v>8.0150000000000068E-2</c:v>
                </c:pt>
                <c:pt idx="38" formatCode="General">
                  <c:v>1.1539999999999992</c:v>
                </c:pt>
                <c:pt idx="39" formatCode="General">
                  <c:v>0.61515000000000108</c:v>
                </c:pt>
                <c:pt idx="40" formatCode="General">
                  <c:v>0.73815000000000042</c:v>
                </c:pt>
                <c:pt idx="41" formatCode="General">
                  <c:v>0.55715000000000126</c:v>
                </c:pt>
                <c:pt idx="42" formatCode="General">
                  <c:v>0.62914999999999954</c:v>
                </c:pt>
                <c:pt idx="43" formatCode="General">
                  <c:v>0.85415000000000008</c:v>
                </c:pt>
                <c:pt idx="44" formatCode="General">
                  <c:v>0.48014999999999952</c:v>
                </c:pt>
                <c:pt idx="45" formatCode="General">
                  <c:v>1.7961500000000004</c:v>
                </c:pt>
                <c:pt idx="46" formatCode="General">
                  <c:v>0.26215000000000044</c:v>
                </c:pt>
                <c:pt idx="47" formatCode="General">
                  <c:v>-0.19384999999999994</c:v>
                </c:pt>
                <c:pt idx="48" formatCode="General">
                  <c:v>0.74315000000000031</c:v>
                </c:pt>
                <c:pt idx="49" formatCode="General">
                  <c:v>-0.23784999999999865</c:v>
                </c:pt>
                <c:pt idx="50" formatCode="General">
                  <c:v>-4.4000000000000483E-2</c:v>
                </c:pt>
                <c:pt idx="51" formatCode="General">
                  <c:v>-0.17700000000000049</c:v>
                </c:pt>
                <c:pt idx="52" formatCode="General">
                  <c:v>-0.28639999999999999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EC5-BC48-A78A-B8E11BD4BA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29012256"/>
        <c:axId val="1929002672"/>
      </c:scatterChart>
      <c:valAx>
        <c:axId val="1929012256"/>
        <c:scaling>
          <c:orientation val="minMax"/>
          <c:max val="2"/>
          <c:min val="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l-GR"/>
                  <a:t>Δ</a:t>
                </a:r>
                <a:r>
                  <a:rPr lang="en-US"/>
                  <a:t>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L"/>
            </a:p>
          </c:txPr>
        </c:title>
        <c:numFmt formatCode="0.0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929002672"/>
        <c:crosses val="autoZero"/>
        <c:crossBetween val="midCat"/>
      </c:valAx>
      <c:valAx>
        <c:axId val="1929002672"/>
        <c:scaling>
          <c:orientation val="minMax"/>
          <c:max val="5"/>
          <c:min val="-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l-GR"/>
                  <a:t>Δ</a:t>
                </a:r>
                <a:r>
                  <a:rPr lang="en-US"/>
                  <a:t>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L"/>
            </a:p>
          </c:txPr>
        </c:title>
        <c:numFmt formatCode="0.0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92901225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738904795991408"/>
          <c:y val="9.1338582677165381E-2"/>
          <c:w val="0.240652818991098"/>
          <c:h val="0.18875118110236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All!$G$1</c:f>
              <c:strCache>
                <c:ptCount val="1"/>
                <c:pt idx="0">
                  <c:v>Gly/Hac (Cmol/Cmol)</c:v>
                </c:pt>
              </c:strCache>
            </c:strRef>
          </c:tx>
          <c:spPr>
            <a:ln w="317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All!$G$2:$G$54</c:f>
              <c:numCache>
                <c:formatCode>0.00</c:formatCode>
                <c:ptCount val="53"/>
                <c:pt idx="0">
                  <c:v>0.29870129870129869</c:v>
                </c:pt>
                <c:pt idx="1">
                  <c:v>0.40540540540540543</c:v>
                </c:pt>
                <c:pt idx="2" formatCode="General">
                  <c:v>0.96</c:v>
                </c:pt>
                <c:pt idx="3" formatCode="General">
                  <c:v>0.98</c:v>
                </c:pt>
                <c:pt idx="4" formatCode="General">
                  <c:v>1.1100000000000001</c:v>
                </c:pt>
                <c:pt idx="5" formatCode="General">
                  <c:v>1.06</c:v>
                </c:pt>
                <c:pt idx="6" formatCode="General">
                  <c:v>0.28999999999999998</c:v>
                </c:pt>
                <c:pt idx="7" formatCode="General">
                  <c:v>1.28</c:v>
                </c:pt>
                <c:pt idx="8" formatCode="General">
                  <c:v>0.4</c:v>
                </c:pt>
                <c:pt idx="9" formatCode="General">
                  <c:v>0.57999999999999996</c:v>
                </c:pt>
                <c:pt idx="10" formatCode="General">
                  <c:v>0.46</c:v>
                </c:pt>
                <c:pt idx="11" formatCode="General">
                  <c:v>1.03</c:v>
                </c:pt>
                <c:pt idx="12" formatCode="General">
                  <c:v>0.5</c:v>
                </c:pt>
                <c:pt idx="13" formatCode="General">
                  <c:v>0.55000000000000004</c:v>
                </c:pt>
                <c:pt idx="14" formatCode="General">
                  <c:v>1.2</c:v>
                </c:pt>
                <c:pt idx="15" formatCode="General">
                  <c:v>1.1000000000000001</c:v>
                </c:pt>
                <c:pt idx="16" formatCode="General">
                  <c:v>1.01</c:v>
                </c:pt>
                <c:pt idx="17" formatCode="General">
                  <c:v>1.22</c:v>
                </c:pt>
                <c:pt idx="18" formatCode="General">
                  <c:v>0.86</c:v>
                </c:pt>
                <c:pt idx="19" formatCode="General">
                  <c:v>1.02</c:v>
                </c:pt>
                <c:pt idx="20" formatCode="General">
                  <c:v>0.89</c:v>
                </c:pt>
                <c:pt idx="21" formatCode="General">
                  <c:v>0.66</c:v>
                </c:pt>
                <c:pt idx="22">
                  <c:v>0.2</c:v>
                </c:pt>
                <c:pt idx="23">
                  <c:v>0.1</c:v>
                </c:pt>
                <c:pt idx="24">
                  <c:v>0.2</c:v>
                </c:pt>
                <c:pt idx="25">
                  <c:v>0.7</c:v>
                </c:pt>
                <c:pt idx="26">
                  <c:v>0.3</c:v>
                </c:pt>
                <c:pt idx="27">
                  <c:v>0.4</c:v>
                </c:pt>
                <c:pt idx="28">
                  <c:v>0.2</c:v>
                </c:pt>
                <c:pt idx="29">
                  <c:v>0.51</c:v>
                </c:pt>
                <c:pt idx="30" formatCode="General">
                  <c:v>0.54</c:v>
                </c:pt>
                <c:pt idx="31" formatCode="General">
                  <c:v>0.51</c:v>
                </c:pt>
                <c:pt idx="32" formatCode="General">
                  <c:v>0.48</c:v>
                </c:pt>
                <c:pt idx="33" formatCode="General">
                  <c:v>0.48</c:v>
                </c:pt>
                <c:pt idx="34" formatCode="General">
                  <c:v>0.99</c:v>
                </c:pt>
                <c:pt idx="35" formatCode="General">
                  <c:v>1.17</c:v>
                </c:pt>
                <c:pt idx="36" formatCode="General">
                  <c:v>0.69000000000000006</c:v>
                </c:pt>
                <c:pt idx="37" formatCode="General">
                  <c:v>0.60000000000000009</c:v>
                </c:pt>
                <c:pt idx="38" formatCode="General">
                  <c:v>0.28999999999999998</c:v>
                </c:pt>
                <c:pt idx="39">
                  <c:v>0.38</c:v>
                </c:pt>
                <c:pt idx="40">
                  <c:v>0.35</c:v>
                </c:pt>
                <c:pt idx="41">
                  <c:v>0.51</c:v>
                </c:pt>
                <c:pt idx="42">
                  <c:v>0.66</c:v>
                </c:pt>
                <c:pt idx="43">
                  <c:v>1.08</c:v>
                </c:pt>
                <c:pt idx="44">
                  <c:v>0.35</c:v>
                </c:pt>
                <c:pt idx="45">
                  <c:v>0.45</c:v>
                </c:pt>
                <c:pt idx="46">
                  <c:v>1.21</c:v>
                </c:pt>
                <c:pt idx="47">
                  <c:v>0.46</c:v>
                </c:pt>
                <c:pt idx="48">
                  <c:v>0.6</c:v>
                </c:pt>
                <c:pt idx="49">
                  <c:v>1.17</c:v>
                </c:pt>
                <c:pt idx="50" formatCode="General">
                  <c:v>0.46</c:v>
                </c:pt>
                <c:pt idx="51" formatCode="General">
                  <c:v>0.14000000000000001</c:v>
                </c:pt>
                <c:pt idx="52" formatCode="General">
                  <c:v>2.5000000000000001E-2</c:v>
                </c:pt>
              </c:numCache>
            </c:numRef>
          </c:xVal>
          <c:yVal>
            <c:numRef>
              <c:f>All!$S$2:$S$54</c:f>
              <c:numCache>
                <c:formatCode>0.00</c:formatCode>
                <c:ptCount val="53"/>
                <c:pt idx="0">
                  <c:v>0.31486565752966555</c:v>
                </c:pt>
                <c:pt idx="1">
                  <c:v>0.4050105113914686</c:v>
                </c:pt>
                <c:pt idx="2">
                  <c:v>0.95790322597889055</c:v>
                </c:pt>
                <c:pt idx="3">
                  <c:v>0.97805581930252761</c:v>
                </c:pt>
                <c:pt idx="4">
                  <c:v>1.107758558157496</c:v>
                </c:pt>
                <c:pt idx="5">
                  <c:v>1.0596793384186136</c:v>
                </c:pt>
                <c:pt idx="6">
                  <c:v>0.3086595128936519</c:v>
                </c:pt>
                <c:pt idx="7">
                  <c:v>1.2721741431194953</c:v>
                </c:pt>
                <c:pt idx="8">
                  <c:v>0.39932598883412468</c:v>
                </c:pt>
                <c:pt idx="9">
                  <c:v>0.63949816537150783</c:v>
                </c:pt>
                <c:pt idx="10">
                  <c:v>0.45991876448772612</c:v>
                </c:pt>
                <c:pt idx="11">
                  <c:v>1.0293091791556364</c:v>
                </c:pt>
                <c:pt idx="12">
                  <c:v>0.50001056873935534</c:v>
                </c:pt>
                <c:pt idx="13">
                  <c:v>0.56729413046937072</c:v>
                </c:pt>
                <c:pt idx="14">
                  <c:v>1.1998636614302902</c:v>
                </c:pt>
                <c:pt idx="15">
                  <c:v>1.1695129051053756</c:v>
                </c:pt>
                <c:pt idx="16">
                  <c:v>1.0079666031668704</c:v>
                </c:pt>
                <c:pt idx="17">
                  <c:v>1.2154645117881357</c:v>
                </c:pt>
                <c:pt idx="18">
                  <c:v>0.85815720797890038</c:v>
                </c:pt>
                <c:pt idx="19">
                  <c:v>1.0148810818130254</c:v>
                </c:pt>
                <c:pt idx="20">
                  <c:v>0.88626309946466131</c:v>
                </c:pt>
                <c:pt idx="21">
                  <c:v>0.65853340639538815</c:v>
                </c:pt>
                <c:pt idx="22">
                  <c:v>0.13953046578948469</c:v>
                </c:pt>
                <c:pt idx="23">
                  <c:v>9.999993417848474E-2</c:v>
                </c:pt>
                <c:pt idx="24">
                  <c:v>0.20000002496457955</c:v>
                </c:pt>
                <c:pt idx="25">
                  <c:v>0.79009422259145423</c:v>
                </c:pt>
                <c:pt idx="26">
                  <c:v>0.32362582696100922</c:v>
                </c:pt>
                <c:pt idx="27">
                  <c:v>0.39999982952394847</c:v>
                </c:pt>
                <c:pt idx="28">
                  <c:v>0.20824346230779961</c:v>
                </c:pt>
                <c:pt idx="29">
                  <c:v>0.50939860720428731</c:v>
                </c:pt>
                <c:pt idx="30">
                  <c:v>0.49672243787066717</c:v>
                </c:pt>
                <c:pt idx="31">
                  <c:v>0.47330156771448156</c:v>
                </c:pt>
                <c:pt idx="32">
                  <c:v>0.47278095039422874</c:v>
                </c:pt>
                <c:pt idx="33">
                  <c:v>0.46290964634783216</c:v>
                </c:pt>
                <c:pt idx="34">
                  <c:v>0.99844990667188638</c:v>
                </c:pt>
                <c:pt idx="35">
                  <c:v>1.1615442880569722</c:v>
                </c:pt>
                <c:pt idx="36">
                  <c:v>0.68999094264453653</c:v>
                </c:pt>
                <c:pt idx="37">
                  <c:v>0.60544573206087793</c:v>
                </c:pt>
                <c:pt idx="38">
                  <c:v>0.31326075528018593</c:v>
                </c:pt>
                <c:pt idx="39">
                  <c:v>0.39825066825330208</c:v>
                </c:pt>
                <c:pt idx="40">
                  <c:v>0.36910498339501313</c:v>
                </c:pt>
                <c:pt idx="41">
                  <c:v>0.53547839304134048</c:v>
                </c:pt>
                <c:pt idx="42">
                  <c:v>0.69744192305194641</c:v>
                </c:pt>
                <c:pt idx="43">
                  <c:v>1.1626927004363554</c:v>
                </c:pt>
                <c:pt idx="44">
                  <c:v>0.36379552983632885</c:v>
                </c:pt>
                <c:pt idx="45">
                  <c:v>0.51063124574072916</c:v>
                </c:pt>
                <c:pt idx="46">
                  <c:v>1.2404725115969673</c:v>
                </c:pt>
                <c:pt idx="47">
                  <c:v>0.45991876448772612</c:v>
                </c:pt>
                <c:pt idx="48">
                  <c:v>0.64382596638424827</c:v>
                </c:pt>
                <c:pt idx="49">
                  <c:v>1.1693642567797196</c:v>
                </c:pt>
                <c:pt idx="50">
                  <c:v>0.45783784262141913</c:v>
                </c:pt>
                <c:pt idx="51">
                  <c:v>0.13639531250029108</c:v>
                </c:pt>
                <c:pt idx="52">
                  <c:v>2.0695476020890592E-2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2A5-EA40-8828-6F0FF176A2B8}"/>
            </c:ext>
          </c:extLst>
        </c:ser>
        <c:ser>
          <c:idx val="0"/>
          <c:order val="1"/>
          <c:tx>
            <c:strRef>
              <c:f>All!$H$1</c:f>
              <c:strCache>
                <c:ptCount val="1"/>
                <c:pt idx="0">
                  <c:v>PHV/Hac (Cmol/Cmol)</c:v>
                </c:pt>
              </c:strCache>
            </c:strRef>
          </c:tx>
          <c:spPr>
            <a:ln w="317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All!$H$2:$H$54</c:f>
              <c:numCache>
                <c:formatCode>0.00</c:formatCode>
                <c:ptCount val="53"/>
                <c:pt idx="0">
                  <c:v>9.7402597402597407E-2</c:v>
                </c:pt>
                <c:pt idx="1">
                  <c:v>0.17374517374517376</c:v>
                </c:pt>
                <c:pt idx="2" formatCode="General">
                  <c:v>0.23</c:v>
                </c:pt>
                <c:pt idx="3" formatCode="General">
                  <c:v>0.32</c:v>
                </c:pt>
                <c:pt idx="4" formatCode="General">
                  <c:v>0.28999999999999998</c:v>
                </c:pt>
                <c:pt idx="5" formatCode="General">
                  <c:v>0.43</c:v>
                </c:pt>
                <c:pt idx="6" formatCode="General">
                  <c:v>0.09</c:v>
                </c:pt>
                <c:pt idx="7" formatCode="General">
                  <c:v>0.37</c:v>
                </c:pt>
                <c:pt idx="8" formatCode="General">
                  <c:v>0.06</c:v>
                </c:pt>
                <c:pt idx="9" formatCode="General">
                  <c:v>0.25</c:v>
                </c:pt>
                <c:pt idx="10" formatCode="General">
                  <c:v>7.0000000000000007E-2</c:v>
                </c:pt>
                <c:pt idx="11" formatCode="General">
                  <c:v>0.46</c:v>
                </c:pt>
                <c:pt idx="12" formatCode="General">
                  <c:v>0.12</c:v>
                </c:pt>
                <c:pt idx="13" formatCode="General">
                  <c:v>0.13</c:v>
                </c:pt>
                <c:pt idx="14" formatCode="General">
                  <c:v>0.52</c:v>
                </c:pt>
                <c:pt idx="15" formatCode="General">
                  <c:v>0.69</c:v>
                </c:pt>
                <c:pt idx="16" formatCode="General">
                  <c:v>0.32</c:v>
                </c:pt>
                <c:pt idx="17" formatCode="General">
                  <c:v>0.26</c:v>
                </c:pt>
                <c:pt idx="18" formatCode="General">
                  <c:v>0.19</c:v>
                </c:pt>
                <c:pt idx="19" formatCode="General">
                  <c:v>0.16</c:v>
                </c:pt>
                <c:pt idx="20" formatCode="General">
                  <c:v>0.14000000000000001</c:v>
                </c:pt>
                <c:pt idx="21" formatCode="General">
                  <c:v>0.12</c:v>
                </c:pt>
                <c:pt idx="22">
                  <c:v>0.15200000000000002</c:v>
                </c:pt>
                <c:pt idx="23">
                  <c:v>0.13500000000000004</c:v>
                </c:pt>
                <c:pt idx="24">
                  <c:v>0.48</c:v>
                </c:pt>
                <c:pt idx="25">
                  <c:v>0.57600000000000007</c:v>
                </c:pt>
                <c:pt idx="26">
                  <c:v>0.22100000000000003</c:v>
                </c:pt>
                <c:pt idx="27">
                  <c:v>0.15714285714285717</c:v>
                </c:pt>
                <c:pt idx="28">
                  <c:v>0.27777777777777779</c:v>
                </c:pt>
                <c:pt idx="29">
                  <c:v>0.14000000000000001</c:v>
                </c:pt>
                <c:pt idx="30" formatCode="General">
                  <c:v>0.17500000000000002</c:v>
                </c:pt>
                <c:pt idx="31" formatCode="General">
                  <c:v>0.1</c:v>
                </c:pt>
                <c:pt idx="32" formatCode="General">
                  <c:v>0.15</c:v>
                </c:pt>
                <c:pt idx="33" formatCode="General">
                  <c:v>0.125</c:v>
                </c:pt>
                <c:pt idx="34" formatCode="General">
                  <c:v>0.375</c:v>
                </c:pt>
                <c:pt idx="35" formatCode="General">
                  <c:v>0.47499999999999998</c:v>
                </c:pt>
                <c:pt idx="36" formatCode="General">
                  <c:v>0.44999999999999996</c:v>
                </c:pt>
                <c:pt idx="37" formatCode="General">
                  <c:v>0.3</c:v>
                </c:pt>
                <c:pt idx="38" formatCode="General">
                  <c:v>0.18000000000000002</c:v>
                </c:pt>
                <c:pt idx="39">
                  <c:v>0.05</c:v>
                </c:pt>
                <c:pt idx="40">
                  <c:v>0.06</c:v>
                </c:pt>
                <c:pt idx="41">
                  <c:v>0.09</c:v>
                </c:pt>
                <c:pt idx="42">
                  <c:v>0.08</c:v>
                </c:pt>
                <c:pt idx="43">
                  <c:v>0.28000000000000003</c:v>
                </c:pt>
                <c:pt idx="44">
                  <c:v>0.1</c:v>
                </c:pt>
                <c:pt idx="45">
                  <c:v>0.27</c:v>
                </c:pt>
                <c:pt idx="46">
                  <c:v>0.49</c:v>
                </c:pt>
                <c:pt idx="47">
                  <c:v>7.0000000000000007E-2</c:v>
                </c:pt>
                <c:pt idx="48">
                  <c:v>0.26</c:v>
                </c:pt>
                <c:pt idx="49">
                  <c:v>0.54</c:v>
                </c:pt>
                <c:pt idx="50" formatCode="General">
                  <c:v>0.12</c:v>
                </c:pt>
                <c:pt idx="51" formatCode="General">
                  <c:v>0.06</c:v>
                </c:pt>
                <c:pt idx="52" formatCode="General">
                  <c:v>7.0000000000000001E-3</c:v>
                </c:pt>
              </c:numCache>
            </c:numRef>
          </c:xVal>
          <c:yVal>
            <c:numRef>
              <c:f>All!$T$2:$T$54</c:f>
              <c:numCache>
                <c:formatCode>0.00</c:formatCode>
                <c:ptCount val="53"/>
                <c:pt idx="0">
                  <c:v>9.5340041167042339E-2</c:v>
                </c:pt>
                <c:pt idx="1">
                  <c:v>0.1738322216833843</c:v>
                </c:pt>
                <c:pt idx="2">
                  <c:v>0.23014446505313468</c:v>
                </c:pt>
                <c:pt idx="3">
                  <c:v>0.32024881835021435</c:v>
                </c:pt>
                <c:pt idx="4">
                  <c:v>0.29018362206844273</c:v>
                </c:pt>
                <c:pt idx="5">
                  <c:v>0.43006342854635876</c:v>
                </c:pt>
                <c:pt idx="6">
                  <c:v>8.7843398827940553E-2</c:v>
                </c:pt>
                <c:pt idx="7">
                  <c:v>0.37078474773639608</c:v>
                </c:pt>
                <c:pt idx="8">
                  <c:v>6.0018199457744156E-2</c:v>
                </c:pt>
                <c:pt idx="9">
                  <c:v>0.23673497731752907</c:v>
                </c:pt>
                <c:pt idx="10">
                  <c:v>7.0002259414716661E-2</c:v>
                </c:pt>
                <c:pt idx="11">
                  <c:v>0.4601654053132142</c:v>
                </c:pt>
                <c:pt idx="12">
                  <c:v>0.11999927625796916</c:v>
                </c:pt>
                <c:pt idx="13">
                  <c:v>0.12884058806947205</c:v>
                </c:pt>
                <c:pt idx="14">
                  <c:v>0.5200309124584015</c:v>
                </c:pt>
                <c:pt idx="15">
                  <c:v>0.65717876284522292</c:v>
                </c:pt>
                <c:pt idx="16">
                  <c:v>0.32024500475891643</c:v>
                </c:pt>
                <c:pt idx="17">
                  <c:v>0.26024722932210043</c:v>
                </c:pt>
                <c:pt idx="18">
                  <c:v>0.19010796031589758</c:v>
                </c:pt>
                <c:pt idx="19">
                  <c:v>0.16015116247798475</c:v>
                </c:pt>
                <c:pt idx="20">
                  <c:v>0.14011097013168164</c:v>
                </c:pt>
                <c:pt idx="21">
                  <c:v>0.12005818589049673</c:v>
                </c:pt>
                <c:pt idx="22">
                  <c:v>0.1754142529166898</c:v>
                </c:pt>
                <c:pt idx="23">
                  <c:v>0.17098802485139819</c:v>
                </c:pt>
                <c:pt idx="24">
                  <c:v>0.37555183580506146</c:v>
                </c:pt>
                <c:pt idx="25">
                  <c:v>0.53171735576277646</c:v>
                </c:pt>
                <c:pt idx="26">
                  <c:v>0.18705855555689468</c:v>
                </c:pt>
                <c:pt idx="27">
                  <c:v>0.19838106254904914</c:v>
                </c:pt>
                <c:pt idx="28">
                  <c:v>0.26411661097397227</c:v>
                </c:pt>
                <c:pt idx="29">
                  <c:v>0.14005439004084125</c:v>
                </c:pt>
                <c:pt idx="30">
                  <c:v>0.18045423224743359</c:v>
                </c:pt>
                <c:pt idx="31">
                  <c:v>0.10169312714141578</c:v>
                </c:pt>
                <c:pt idx="32">
                  <c:v>0.15084599114378766</c:v>
                </c:pt>
                <c:pt idx="33">
                  <c:v>0.12639082242655411</c:v>
                </c:pt>
                <c:pt idx="34">
                  <c:v>0.37354519407531428</c:v>
                </c:pt>
                <c:pt idx="35">
                  <c:v>0.47667258543661922</c:v>
                </c:pt>
                <c:pt idx="36">
                  <c:v>0.4500047055163674</c:v>
                </c:pt>
                <c:pt idx="37">
                  <c:v>0.29836631449522305</c:v>
                </c:pt>
                <c:pt idx="38">
                  <c:v>0.17553383548990009</c:v>
                </c:pt>
                <c:pt idx="39">
                  <c:v>4.9620831934467681E-2</c:v>
                </c:pt>
                <c:pt idx="40">
                  <c:v>5.9326258583519961E-2</c:v>
                </c:pt>
                <c:pt idx="41">
                  <c:v>8.9047870420075545E-2</c:v>
                </c:pt>
                <c:pt idx="42">
                  <c:v>7.9339870663423892E-2</c:v>
                </c:pt>
                <c:pt idx="43">
                  <c:v>0.27333019374611967</c:v>
                </c:pt>
                <c:pt idx="44">
                  <c:v>9.8648605677974371E-2</c:v>
                </c:pt>
                <c:pt idx="45">
                  <c:v>0.24380733161844434</c:v>
                </c:pt>
                <c:pt idx="46">
                  <c:v>0.4840034493155177</c:v>
                </c:pt>
                <c:pt idx="47">
                  <c:v>7.0002259414716661E-2</c:v>
                </c:pt>
                <c:pt idx="48">
                  <c:v>0.25012457718468584</c:v>
                </c:pt>
                <c:pt idx="49">
                  <c:v>0.54016273770217371</c:v>
                </c:pt>
                <c:pt idx="50">
                  <c:v>0.12508556267769788</c:v>
                </c:pt>
                <c:pt idx="51">
                  <c:v>6.0299559214168859E-2</c:v>
                </c:pt>
                <c:pt idx="52">
                  <c:v>7.0918299438648526E-3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2A5-EA40-8828-6F0FF176A2B8}"/>
            </c:ext>
          </c:extLst>
        </c:ser>
        <c:ser>
          <c:idx val="2"/>
          <c:order val="2"/>
          <c:tx>
            <c:strRef>
              <c:f>All!$I$1</c:f>
              <c:strCache>
                <c:ptCount val="1"/>
                <c:pt idx="0">
                  <c:v>PHB/Hac (Cmol/Cmol)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All!$I$2:$I$54</c:f>
              <c:numCache>
                <c:formatCode>0.00</c:formatCode>
                <c:ptCount val="53"/>
                <c:pt idx="0">
                  <c:v>1.2207792207792207</c:v>
                </c:pt>
                <c:pt idx="1">
                  <c:v>0.79536679536679533</c:v>
                </c:pt>
                <c:pt idx="2" formatCode="General">
                  <c:v>1.24</c:v>
                </c:pt>
                <c:pt idx="3" formatCode="General">
                  <c:v>1.19</c:v>
                </c:pt>
                <c:pt idx="4" formatCode="General">
                  <c:v>1.36</c:v>
                </c:pt>
                <c:pt idx="5" formatCode="General">
                  <c:v>1.34</c:v>
                </c:pt>
                <c:pt idx="6" formatCode="General">
                  <c:v>1.27</c:v>
                </c:pt>
                <c:pt idx="7" formatCode="General">
                  <c:v>1.0900000000000001</c:v>
                </c:pt>
                <c:pt idx="8" formatCode="General">
                  <c:v>0.71</c:v>
                </c:pt>
                <c:pt idx="9" formatCode="General">
                  <c:v>1.39</c:v>
                </c:pt>
                <c:pt idx="10" formatCode="General">
                  <c:v>1.18</c:v>
                </c:pt>
                <c:pt idx="11" formatCode="General">
                  <c:v>1.24</c:v>
                </c:pt>
                <c:pt idx="12" formatCode="General">
                  <c:v>1.21</c:v>
                </c:pt>
                <c:pt idx="13" formatCode="General">
                  <c:v>1.31</c:v>
                </c:pt>
                <c:pt idx="14" formatCode="General">
                  <c:v>1.39</c:v>
                </c:pt>
                <c:pt idx="15" formatCode="General">
                  <c:v>1.28</c:v>
                </c:pt>
                <c:pt idx="16" formatCode="General">
                  <c:v>1.22</c:v>
                </c:pt>
                <c:pt idx="17" formatCode="General">
                  <c:v>1.35</c:v>
                </c:pt>
                <c:pt idx="18" formatCode="General">
                  <c:v>1.17</c:v>
                </c:pt>
                <c:pt idx="19" formatCode="General">
                  <c:v>1.07</c:v>
                </c:pt>
                <c:pt idx="20" formatCode="General">
                  <c:v>1</c:v>
                </c:pt>
                <c:pt idx="21" formatCode="General">
                  <c:v>0.97</c:v>
                </c:pt>
                <c:pt idx="22">
                  <c:v>0.63200000000000012</c:v>
                </c:pt>
                <c:pt idx="23">
                  <c:v>0.75600000000000001</c:v>
                </c:pt>
                <c:pt idx="24">
                  <c:v>1.0720000000000001</c:v>
                </c:pt>
                <c:pt idx="25">
                  <c:v>1.2060000000000002</c:v>
                </c:pt>
                <c:pt idx="26">
                  <c:v>1.079</c:v>
                </c:pt>
                <c:pt idx="27">
                  <c:v>0.55000000000000004</c:v>
                </c:pt>
                <c:pt idx="28">
                  <c:v>0.83333333333333326</c:v>
                </c:pt>
                <c:pt idx="29">
                  <c:v>0.93400000000000005</c:v>
                </c:pt>
                <c:pt idx="30" formatCode="General">
                  <c:v>0.98</c:v>
                </c:pt>
                <c:pt idx="31" formatCode="General">
                  <c:v>1.04</c:v>
                </c:pt>
                <c:pt idx="32" formatCode="General">
                  <c:v>1.06</c:v>
                </c:pt>
                <c:pt idx="33" formatCode="General">
                  <c:v>1.08</c:v>
                </c:pt>
                <c:pt idx="34" formatCode="General">
                  <c:v>1.36</c:v>
                </c:pt>
                <c:pt idx="35" formatCode="General">
                  <c:v>1.36</c:v>
                </c:pt>
                <c:pt idx="36" formatCode="General">
                  <c:v>1.02</c:v>
                </c:pt>
                <c:pt idx="37" formatCode="General">
                  <c:v>1.1200000000000001</c:v>
                </c:pt>
                <c:pt idx="38" formatCode="General">
                  <c:v>1.2</c:v>
                </c:pt>
                <c:pt idx="39">
                  <c:v>1.31</c:v>
                </c:pt>
                <c:pt idx="40">
                  <c:v>1.3</c:v>
                </c:pt>
                <c:pt idx="41">
                  <c:v>1.37</c:v>
                </c:pt>
                <c:pt idx="42">
                  <c:v>1.53</c:v>
                </c:pt>
                <c:pt idx="43">
                  <c:v>1.74</c:v>
                </c:pt>
                <c:pt idx="44">
                  <c:v>1.2</c:v>
                </c:pt>
                <c:pt idx="45">
                  <c:v>1.4</c:v>
                </c:pt>
                <c:pt idx="46">
                  <c:v>1.5</c:v>
                </c:pt>
                <c:pt idx="47">
                  <c:v>1.18</c:v>
                </c:pt>
                <c:pt idx="48">
                  <c:v>1.31</c:v>
                </c:pt>
                <c:pt idx="49">
                  <c:v>1.3</c:v>
                </c:pt>
                <c:pt idx="50" formatCode="General">
                  <c:v>1.1599999999999999</c:v>
                </c:pt>
                <c:pt idx="51" formatCode="General">
                  <c:v>0.91</c:v>
                </c:pt>
                <c:pt idx="52" formatCode="General">
                  <c:v>0.84</c:v>
                </c:pt>
              </c:numCache>
            </c:numRef>
          </c:xVal>
          <c:yVal>
            <c:numRef>
              <c:f>All!$U$2:$U$54</c:f>
              <c:numCache>
                <c:formatCode>0.00</c:formatCode>
                <c:ptCount val="53"/>
                <c:pt idx="0">
                  <c:v>1.099281130265265</c:v>
                </c:pt>
                <c:pt idx="1">
                  <c:v>0.79605094862287051</c:v>
                </c:pt>
                <c:pt idx="2">
                  <c:v>1.2415747646619069</c:v>
                </c:pt>
                <c:pt idx="3">
                  <c:v>1.1912904689292769</c:v>
                </c:pt>
                <c:pt idx="4">
                  <c:v>1.3615144732287705</c:v>
                </c:pt>
                <c:pt idx="5">
                  <c:v>1.3402312031089525</c:v>
                </c:pt>
                <c:pt idx="6">
                  <c:v>1.1089640046010318</c:v>
                </c:pt>
                <c:pt idx="7">
                  <c:v>1.0925540967477756</c:v>
                </c:pt>
                <c:pt idx="8">
                  <c:v>0.71095569170209116</c:v>
                </c:pt>
                <c:pt idx="9">
                  <c:v>1.2362241349768739</c:v>
                </c:pt>
                <c:pt idx="10">
                  <c:v>1.1802410373605243</c:v>
                </c:pt>
                <c:pt idx="11">
                  <c:v>1.2404509306870681</c:v>
                </c:pt>
                <c:pt idx="12">
                  <c:v>1.2099725647137112</c:v>
                </c:pt>
                <c:pt idx="13">
                  <c:v>1.2658506987494991</c:v>
                </c:pt>
                <c:pt idx="14">
                  <c:v>1.3900832109584398</c:v>
                </c:pt>
                <c:pt idx="15">
                  <c:v>1.2376449488964461</c:v>
                </c:pt>
                <c:pt idx="16">
                  <c:v>1.2213357605165582</c:v>
                </c:pt>
                <c:pt idx="17">
                  <c:v>1.3524995816570065</c:v>
                </c:pt>
                <c:pt idx="18">
                  <c:v>1.1715352187537027</c:v>
                </c:pt>
                <c:pt idx="19">
                  <c:v>1.0725352512139597</c:v>
                </c:pt>
                <c:pt idx="20">
                  <c:v>1.0021232346668494</c:v>
                </c:pt>
                <c:pt idx="21">
                  <c:v>0.97142577950381948</c:v>
                </c:pt>
                <c:pt idx="22">
                  <c:v>0.80574518838752462</c:v>
                </c:pt>
                <c:pt idx="23">
                  <c:v>0.78539036015800934</c:v>
                </c:pt>
                <c:pt idx="24">
                  <c:v>0.61741863590876622</c:v>
                </c:pt>
                <c:pt idx="25">
                  <c:v>1.0240097061421294</c:v>
                </c:pt>
                <c:pt idx="26">
                  <c:v>0.9770127418415947</c:v>
                </c:pt>
                <c:pt idx="27">
                  <c:v>1.023594528567793</c:v>
                </c:pt>
                <c:pt idx="28">
                  <c:v>0.79225746548041831</c:v>
                </c:pt>
                <c:pt idx="29">
                  <c:v>0.9349079097573807</c:v>
                </c:pt>
                <c:pt idx="30">
                  <c:v>1.044141944041584</c:v>
                </c:pt>
                <c:pt idx="31">
                  <c:v>1.1086732798262571</c:v>
                </c:pt>
                <c:pt idx="32">
                  <c:v>1.0758426460718371</c:v>
                </c:pt>
                <c:pt idx="33">
                  <c:v>1.118934196939676</c:v>
                </c:pt>
                <c:pt idx="34">
                  <c:v>1.3528246395242198</c:v>
                </c:pt>
                <c:pt idx="35">
                  <c:v>1.3651419524955466</c:v>
                </c:pt>
                <c:pt idx="36">
                  <c:v>1.0200091835966969</c:v>
                </c:pt>
                <c:pt idx="37">
                  <c:v>1.1114613838644749</c:v>
                </c:pt>
                <c:pt idx="38">
                  <c:v>0.99484095142843443</c:v>
                </c:pt>
                <c:pt idx="39">
                  <c:v>1.2123965416398232</c:v>
                </c:pt>
                <c:pt idx="40">
                  <c:v>1.1813935743957216</c:v>
                </c:pt>
                <c:pt idx="41">
                  <c:v>1.2872663673408842</c:v>
                </c:pt>
                <c:pt idx="42">
                  <c:v>1.439455579542771</c:v>
                </c:pt>
                <c:pt idx="43">
                  <c:v>1.6434116090130249</c:v>
                </c:pt>
                <c:pt idx="44">
                  <c:v>1.1270248926964734</c:v>
                </c:pt>
                <c:pt idx="45">
                  <c:v>1.1359179182494108</c:v>
                </c:pt>
                <c:pt idx="46">
                  <c:v>1.478927552344701</c:v>
                </c:pt>
                <c:pt idx="47">
                  <c:v>1.1802410373605243</c:v>
                </c:pt>
                <c:pt idx="48">
                  <c:v>1.2159882049636312</c:v>
                </c:pt>
                <c:pt idx="49">
                  <c:v>1.3003538992247625</c:v>
                </c:pt>
                <c:pt idx="50">
                  <c:v>1.1603892105814895</c:v>
                </c:pt>
                <c:pt idx="51">
                  <c:v>0.92223326294187147</c:v>
                </c:pt>
                <c:pt idx="52">
                  <c:v>0.85454931317151783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2A5-EA40-8828-6F0FF176A2B8}"/>
            </c:ext>
          </c:extLst>
        </c:ser>
        <c:ser>
          <c:idx val="3"/>
          <c:order val="3"/>
          <c:spPr>
            <a:ln w="12700" cap="rnd">
              <a:solidFill>
                <a:schemeClr val="tx1">
                  <a:alpha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2"/>
              <c:pt idx="0">
                <c:v>-0.5</c:v>
              </c:pt>
              <c:pt idx="1">
                <c:v>3</c:v>
              </c:pt>
            </c:numLit>
          </c:xVal>
          <c:yVal>
            <c:numLit>
              <c:formatCode>General</c:formatCode>
              <c:ptCount val="2"/>
              <c:pt idx="0">
                <c:v>-0.5</c:v>
              </c:pt>
              <c:pt idx="1">
                <c:v>3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3-32A5-EA40-8828-6F0FF176A2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65864416"/>
        <c:axId val="1965894032"/>
      </c:scatterChart>
      <c:valAx>
        <c:axId val="1965864416"/>
        <c:scaling>
          <c:orientation val="minMax"/>
          <c:max val="3"/>
          <c:min val="-0.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Measured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L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965894032"/>
        <c:crosses val="autoZero"/>
        <c:crossBetween val="midCat"/>
      </c:valAx>
      <c:valAx>
        <c:axId val="1965894032"/>
        <c:scaling>
          <c:orientation val="minMax"/>
          <c:max val="3"/>
          <c:min val="-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Reconciled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L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9658644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egendEntry>
        <c:idx val="3"/>
        <c:delete val="1"/>
      </c:legendEntry>
      <c:layout>
        <c:manualLayout>
          <c:xMode val="edge"/>
          <c:yMode val="edge"/>
          <c:x val="0.67774562554680695"/>
          <c:y val="0.42690923009623799"/>
          <c:w val="0.27503215223097099"/>
          <c:h val="0.15729265091863501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Yagci model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'Yagci 2003'!$H$16</c:f>
              <c:strCache>
                <c:ptCount val="1"/>
                <c:pt idx="0">
                  <c:v>PHV/Cfed (Cmol/Cmol)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diamond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'Yagci 2003'!$G$17:$G$61</c:f>
              <c:numCache>
                <c:formatCode>0.00</c:formatCode>
                <c:ptCount val="42"/>
                <c:pt idx="0">
                  <c:v>9.9700897308075765E-4</c:v>
                </c:pt>
                <c:pt idx="1">
                  <c:v>9.7087378640776691E-3</c:v>
                </c:pt>
                <c:pt idx="2">
                  <c:v>7.6923076923076927E-2</c:v>
                </c:pt>
                <c:pt idx="3">
                  <c:v>8.3333333333333329E-2</c:v>
                </c:pt>
                <c:pt idx="4">
                  <c:v>9.0909090909090912E-2</c:v>
                </c:pt>
                <c:pt idx="5">
                  <c:v>0.1</c:v>
                </c:pt>
                <c:pt idx="6">
                  <c:v>0.1111111111111111</c:v>
                </c:pt>
                <c:pt idx="7">
                  <c:v>0.125</c:v>
                </c:pt>
                <c:pt idx="8">
                  <c:v>0.14285714285714285</c:v>
                </c:pt>
                <c:pt idx="9">
                  <c:v>0.16666666666666666</c:v>
                </c:pt>
                <c:pt idx="10">
                  <c:v>0.2</c:v>
                </c:pt>
                <c:pt idx="11">
                  <c:v>0.20833333333333331</c:v>
                </c:pt>
                <c:pt idx="12">
                  <c:v>0.21739130434782608</c:v>
                </c:pt>
                <c:pt idx="13">
                  <c:v>0.22727272727272729</c:v>
                </c:pt>
                <c:pt idx="14">
                  <c:v>0.23809523809523811</c:v>
                </c:pt>
                <c:pt idx="15">
                  <c:v>0.25</c:v>
                </c:pt>
                <c:pt idx="16">
                  <c:v>0.26315789473684209</c:v>
                </c:pt>
                <c:pt idx="17">
                  <c:v>0.27777777777777773</c:v>
                </c:pt>
                <c:pt idx="18">
                  <c:v>0.29411764705882354</c:v>
                </c:pt>
                <c:pt idx="19">
                  <c:v>0.3125</c:v>
                </c:pt>
                <c:pt idx="20">
                  <c:v>0.33333333333333331</c:v>
                </c:pt>
                <c:pt idx="21">
                  <c:v>0.5</c:v>
                </c:pt>
                <c:pt idx="22">
                  <c:v>0.58333333333333337</c:v>
                </c:pt>
                <c:pt idx="23">
                  <c:v>0.64285714285714279</c:v>
                </c:pt>
                <c:pt idx="24">
                  <c:v>0.6875</c:v>
                </c:pt>
                <c:pt idx="25">
                  <c:v>0.72222222222222221</c:v>
                </c:pt>
                <c:pt idx="26">
                  <c:v>0.75</c:v>
                </c:pt>
                <c:pt idx="27">
                  <c:v>0.7727272727272726</c:v>
                </c:pt>
                <c:pt idx="28">
                  <c:v>0.79166666666666663</c:v>
                </c:pt>
                <c:pt idx="29">
                  <c:v>0.80769230769230771</c:v>
                </c:pt>
                <c:pt idx="30">
                  <c:v>0.8214285714285714</c:v>
                </c:pt>
                <c:pt idx="31">
                  <c:v>0.83333333333333337</c:v>
                </c:pt>
                <c:pt idx="32">
                  <c:v>0.875</c:v>
                </c:pt>
                <c:pt idx="33">
                  <c:v>0.9</c:v>
                </c:pt>
                <c:pt idx="34">
                  <c:v>0.91666666666666663</c:v>
                </c:pt>
                <c:pt idx="35">
                  <c:v>0.9285714285714286</c:v>
                </c:pt>
                <c:pt idx="36">
                  <c:v>0.9375</c:v>
                </c:pt>
                <c:pt idx="37">
                  <c:v>0.94444444444444442</c:v>
                </c:pt>
                <c:pt idx="38">
                  <c:v>0.95</c:v>
                </c:pt>
                <c:pt idx="39">
                  <c:v>0.95454545454545459</c:v>
                </c:pt>
                <c:pt idx="40">
                  <c:v>0.99504950495049505</c:v>
                </c:pt>
                <c:pt idx="41">
                  <c:v>0.99950049950049946</c:v>
                </c:pt>
              </c:numCache>
            </c:numRef>
          </c:xVal>
          <c:yVal>
            <c:numRef>
              <c:f>'Yagci 2003'!$H$17:$H$61</c:f>
              <c:numCache>
                <c:formatCode>0.00</c:formatCode>
                <c:ptCount val="42"/>
                <c:pt idx="0">
                  <c:v>0.83084081090063144</c:v>
                </c:pt>
                <c:pt idx="1">
                  <c:v>0.80906148867313921</c:v>
                </c:pt>
                <c:pt idx="2">
                  <c:v>0.64102564102564108</c:v>
                </c:pt>
                <c:pt idx="3">
                  <c:v>0.625</c:v>
                </c:pt>
                <c:pt idx="4">
                  <c:v>0.60606060606060608</c:v>
                </c:pt>
                <c:pt idx="5">
                  <c:v>0.58333333333333337</c:v>
                </c:pt>
                <c:pt idx="6">
                  <c:v>0.55555555555555558</c:v>
                </c:pt>
                <c:pt idx="7">
                  <c:v>0.52083333333333337</c:v>
                </c:pt>
                <c:pt idx="8">
                  <c:v>0.47619047619047616</c:v>
                </c:pt>
                <c:pt idx="9">
                  <c:v>0.41666666666666669</c:v>
                </c:pt>
                <c:pt idx="10">
                  <c:v>0.33333333333333331</c:v>
                </c:pt>
                <c:pt idx="11">
                  <c:v>0.3125</c:v>
                </c:pt>
                <c:pt idx="12">
                  <c:v>0.28985507246376813</c:v>
                </c:pt>
                <c:pt idx="13">
                  <c:v>0.26515151515151514</c:v>
                </c:pt>
                <c:pt idx="14">
                  <c:v>0.23809523809523811</c:v>
                </c:pt>
                <c:pt idx="15">
                  <c:v>0.20833333333333334</c:v>
                </c:pt>
                <c:pt idx="16">
                  <c:v>0.17543859649122806</c:v>
                </c:pt>
                <c:pt idx="17">
                  <c:v>0.13888888888888887</c:v>
                </c:pt>
                <c:pt idx="18">
                  <c:v>9.8039215686274522E-2</c:v>
                </c:pt>
                <c:pt idx="19">
                  <c:v>5.2083333333333336E-2</c:v>
                </c:pt>
                <c:pt idx="20">
                  <c:v>0</c:v>
                </c:pt>
                <c:pt idx="21">
                  <c:v>0.20833333333333331</c:v>
                </c:pt>
                <c:pt idx="22">
                  <c:v>0.3125</c:v>
                </c:pt>
                <c:pt idx="23">
                  <c:v>0.38690476190476197</c:v>
                </c:pt>
                <c:pt idx="24">
                  <c:v>0.44270833333333331</c:v>
                </c:pt>
                <c:pt idx="25">
                  <c:v>0.4861111111111111</c:v>
                </c:pt>
                <c:pt idx="26">
                  <c:v>0.52083333333333326</c:v>
                </c:pt>
                <c:pt idx="27">
                  <c:v>0.5492424242424242</c:v>
                </c:pt>
                <c:pt idx="28">
                  <c:v>0.57291666666666663</c:v>
                </c:pt>
                <c:pt idx="29">
                  <c:v>0.59294871794871806</c:v>
                </c:pt>
                <c:pt idx="30">
                  <c:v>0.61011904761904767</c:v>
                </c:pt>
                <c:pt idx="31">
                  <c:v>0.625</c:v>
                </c:pt>
                <c:pt idx="32">
                  <c:v>0.67708333333333326</c:v>
                </c:pt>
                <c:pt idx="33">
                  <c:v>0.70833333333333326</c:v>
                </c:pt>
                <c:pt idx="34">
                  <c:v>0.72916666666666663</c:v>
                </c:pt>
                <c:pt idx="35">
                  <c:v>0.74404761904761918</c:v>
                </c:pt>
                <c:pt idx="36">
                  <c:v>0.75520833333333348</c:v>
                </c:pt>
                <c:pt idx="37">
                  <c:v>0.76388888888888884</c:v>
                </c:pt>
                <c:pt idx="38">
                  <c:v>0.77083333333333337</c:v>
                </c:pt>
                <c:pt idx="39">
                  <c:v>0.7765151515151516</c:v>
                </c:pt>
                <c:pt idx="40">
                  <c:v>0.82714521452145229</c:v>
                </c:pt>
                <c:pt idx="41">
                  <c:v>0.83270895770895759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E25-FB4B-A026-BD3A784838B4}"/>
            </c:ext>
          </c:extLst>
        </c:ser>
        <c:ser>
          <c:idx val="1"/>
          <c:order val="1"/>
          <c:tx>
            <c:strRef>
              <c:f>'Yagci 2003'!$I$16</c:f>
              <c:strCache>
                <c:ptCount val="1"/>
                <c:pt idx="0">
                  <c:v>PHB/Cfed (Cmol/Cmol)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'Yagci 2003'!$G$17:$G$61</c:f>
              <c:numCache>
                <c:formatCode>0.00</c:formatCode>
                <c:ptCount val="42"/>
                <c:pt idx="0">
                  <c:v>9.9700897308075765E-4</c:v>
                </c:pt>
                <c:pt idx="1">
                  <c:v>9.7087378640776691E-3</c:v>
                </c:pt>
                <c:pt idx="2">
                  <c:v>7.6923076923076927E-2</c:v>
                </c:pt>
                <c:pt idx="3">
                  <c:v>8.3333333333333329E-2</c:v>
                </c:pt>
                <c:pt idx="4">
                  <c:v>9.0909090909090912E-2</c:v>
                </c:pt>
                <c:pt idx="5">
                  <c:v>0.1</c:v>
                </c:pt>
                <c:pt idx="6">
                  <c:v>0.1111111111111111</c:v>
                </c:pt>
                <c:pt idx="7">
                  <c:v>0.125</c:v>
                </c:pt>
                <c:pt idx="8">
                  <c:v>0.14285714285714285</c:v>
                </c:pt>
                <c:pt idx="9">
                  <c:v>0.16666666666666666</c:v>
                </c:pt>
                <c:pt idx="10">
                  <c:v>0.2</c:v>
                </c:pt>
                <c:pt idx="11">
                  <c:v>0.20833333333333331</c:v>
                </c:pt>
                <c:pt idx="12">
                  <c:v>0.21739130434782608</c:v>
                </c:pt>
                <c:pt idx="13">
                  <c:v>0.22727272727272729</c:v>
                </c:pt>
                <c:pt idx="14">
                  <c:v>0.23809523809523811</c:v>
                </c:pt>
                <c:pt idx="15">
                  <c:v>0.25</c:v>
                </c:pt>
                <c:pt idx="16">
                  <c:v>0.26315789473684209</c:v>
                </c:pt>
                <c:pt idx="17">
                  <c:v>0.27777777777777773</c:v>
                </c:pt>
                <c:pt idx="18">
                  <c:v>0.29411764705882354</c:v>
                </c:pt>
                <c:pt idx="19">
                  <c:v>0.3125</c:v>
                </c:pt>
                <c:pt idx="20">
                  <c:v>0.33333333333333331</c:v>
                </c:pt>
                <c:pt idx="21">
                  <c:v>0.5</c:v>
                </c:pt>
                <c:pt idx="22">
                  <c:v>0.58333333333333337</c:v>
                </c:pt>
                <c:pt idx="23">
                  <c:v>0.64285714285714279</c:v>
                </c:pt>
                <c:pt idx="24">
                  <c:v>0.6875</c:v>
                </c:pt>
                <c:pt idx="25">
                  <c:v>0.72222222222222221</c:v>
                </c:pt>
                <c:pt idx="26">
                  <c:v>0.75</c:v>
                </c:pt>
                <c:pt idx="27">
                  <c:v>0.7727272727272726</c:v>
                </c:pt>
                <c:pt idx="28">
                  <c:v>0.79166666666666663</c:v>
                </c:pt>
                <c:pt idx="29">
                  <c:v>0.80769230769230771</c:v>
                </c:pt>
                <c:pt idx="30">
                  <c:v>0.8214285714285714</c:v>
                </c:pt>
                <c:pt idx="31">
                  <c:v>0.83333333333333337</c:v>
                </c:pt>
                <c:pt idx="32">
                  <c:v>0.875</c:v>
                </c:pt>
                <c:pt idx="33">
                  <c:v>0.9</c:v>
                </c:pt>
                <c:pt idx="34">
                  <c:v>0.91666666666666663</c:v>
                </c:pt>
                <c:pt idx="35">
                  <c:v>0.9285714285714286</c:v>
                </c:pt>
                <c:pt idx="36">
                  <c:v>0.9375</c:v>
                </c:pt>
                <c:pt idx="37">
                  <c:v>0.94444444444444442</c:v>
                </c:pt>
                <c:pt idx="38">
                  <c:v>0.95</c:v>
                </c:pt>
                <c:pt idx="39">
                  <c:v>0.95454545454545459</c:v>
                </c:pt>
                <c:pt idx="40">
                  <c:v>0.99504950495049505</c:v>
                </c:pt>
                <c:pt idx="41">
                  <c:v>0.99950049950049946</c:v>
                </c:pt>
              </c:numCache>
            </c:numRef>
          </c:xVal>
          <c:yVal>
            <c:numRef>
              <c:f>'Yagci 2003'!$I$17:$I$61</c:f>
              <c:numCache>
                <c:formatCode>0.00</c:formatCode>
                <c:ptCount val="42"/>
                <c:pt idx="0">
                  <c:v>2.6586905948820204E-3</c:v>
                </c:pt>
                <c:pt idx="1">
                  <c:v>2.5889967637540454E-2</c:v>
                </c:pt>
                <c:pt idx="2">
                  <c:v>0.20512820512820512</c:v>
                </c:pt>
                <c:pt idx="3">
                  <c:v>0.22222222222222221</c:v>
                </c:pt>
                <c:pt idx="4">
                  <c:v>0.24242424242424243</c:v>
                </c:pt>
                <c:pt idx="5">
                  <c:v>0.26666666666666666</c:v>
                </c:pt>
                <c:pt idx="6">
                  <c:v>0.29629629629629628</c:v>
                </c:pt>
                <c:pt idx="7">
                  <c:v>0.33333333333333331</c:v>
                </c:pt>
                <c:pt idx="8">
                  <c:v>0.38095238095238093</c:v>
                </c:pt>
                <c:pt idx="9">
                  <c:v>0.44444444444444442</c:v>
                </c:pt>
                <c:pt idx="10">
                  <c:v>0.53333333333333333</c:v>
                </c:pt>
                <c:pt idx="11">
                  <c:v>0.55555555555555558</c:v>
                </c:pt>
                <c:pt idx="12">
                  <c:v>0.57971014492753625</c:v>
                </c:pt>
                <c:pt idx="13">
                  <c:v>0.60606060606060608</c:v>
                </c:pt>
                <c:pt idx="14">
                  <c:v>0.63492063492063489</c:v>
                </c:pt>
                <c:pt idx="15">
                  <c:v>0.66666666666666663</c:v>
                </c:pt>
                <c:pt idx="16">
                  <c:v>0.70175438596491224</c:v>
                </c:pt>
                <c:pt idx="17">
                  <c:v>0.7407407407407407</c:v>
                </c:pt>
                <c:pt idx="18">
                  <c:v>0.78431372549019618</c:v>
                </c:pt>
                <c:pt idx="19">
                  <c:v>0.83333333333333337</c:v>
                </c:pt>
                <c:pt idx="20">
                  <c:v>0.88888888888888884</c:v>
                </c:pt>
                <c:pt idx="21">
                  <c:v>0.66666666666666663</c:v>
                </c:pt>
                <c:pt idx="22">
                  <c:v>0.55555555555555558</c:v>
                </c:pt>
                <c:pt idx="23">
                  <c:v>0.47619047619047622</c:v>
                </c:pt>
                <c:pt idx="24">
                  <c:v>0.41666666666666669</c:v>
                </c:pt>
                <c:pt idx="25">
                  <c:v>0.37037037037037035</c:v>
                </c:pt>
                <c:pt idx="26">
                  <c:v>0.33333333333333331</c:v>
                </c:pt>
                <c:pt idx="27">
                  <c:v>0.30303030303030298</c:v>
                </c:pt>
                <c:pt idx="28">
                  <c:v>0.27777777777777779</c:v>
                </c:pt>
                <c:pt idx="29">
                  <c:v>0.25641025641025644</c:v>
                </c:pt>
                <c:pt idx="30">
                  <c:v>0.23809523809523811</c:v>
                </c:pt>
                <c:pt idx="31">
                  <c:v>0.22222222222222221</c:v>
                </c:pt>
                <c:pt idx="32">
                  <c:v>0.16666666666666666</c:v>
                </c:pt>
                <c:pt idx="33">
                  <c:v>0.13333333333333333</c:v>
                </c:pt>
                <c:pt idx="34">
                  <c:v>0.1111111111111111</c:v>
                </c:pt>
                <c:pt idx="35">
                  <c:v>9.5238095238095233E-2</c:v>
                </c:pt>
                <c:pt idx="36">
                  <c:v>8.3333333333333329E-2</c:v>
                </c:pt>
                <c:pt idx="37">
                  <c:v>7.407407407407407E-2</c:v>
                </c:pt>
                <c:pt idx="38">
                  <c:v>6.6666666666666666E-2</c:v>
                </c:pt>
                <c:pt idx="39">
                  <c:v>6.0606060606060601E-2</c:v>
                </c:pt>
                <c:pt idx="40">
                  <c:v>6.6006600660065999E-3</c:v>
                </c:pt>
                <c:pt idx="41">
                  <c:v>6.66000666000666E-4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E25-FB4B-A026-BD3A784838B4}"/>
            </c:ext>
          </c:extLst>
        </c:ser>
        <c:ser>
          <c:idx val="2"/>
          <c:order val="2"/>
          <c:tx>
            <c:strRef>
              <c:f>'Yagci 2003'!$J$16</c:f>
              <c:strCache>
                <c:ptCount val="1"/>
                <c:pt idx="0">
                  <c:v>CO2/Cfed (Cmol/Cmol)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triang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'Yagci 2003'!$G$17:$G$61</c:f>
              <c:numCache>
                <c:formatCode>0.00</c:formatCode>
                <c:ptCount val="42"/>
                <c:pt idx="0">
                  <c:v>9.9700897308075765E-4</c:v>
                </c:pt>
                <c:pt idx="1">
                  <c:v>9.7087378640776691E-3</c:v>
                </c:pt>
                <c:pt idx="2">
                  <c:v>7.6923076923076927E-2</c:v>
                </c:pt>
                <c:pt idx="3">
                  <c:v>8.3333333333333329E-2</c:v>
                </c:pt>
                <c:pt idx="4">
                  <c:v>9.0909090909090912E-2</c:v>
                </c:pt>
                <c:pt idx="5">
                  <c:v>0.1</c:v>
                </c:pt>
                <c:pt idx="6">
                  <c:v>0.1111111111111111</c:v>
                </c:pt>
                <c:pt idx="7">
                  <c:v>0.125</c:v>
                </c:pt>
                <c:pt idx="8">
                  <c:v>0.14285714285714285</c:v>
                </c:pt>
                <c:pt idx="9">
                  <c:v>0.16666666666666666</c:v>
                </c:pt>
                <c:pt idx="10">
                  <c:v>0.2</c:v>
                </c:pt>
                <c:pt idx="11">
                  <c:v>0.20833333333333331</c:v>
                </c:pt>
                <c:pt idx="12">
                  <c:v>0.21739130434782608</c:v>
                </c:pt>
                <c:pt idx="13">
                  <c:v>0.22727272727272729</c:v>
                </c:pt>
                <c:pt idx="14">
                  <c:v>0.23809523809523811</c:v>
                </c:pt>
                <c:pt idx="15">
                  <c:v>0.25</c:v>
                </c:pt>
                <c:pt idx="16">
                  <c:v>0.26315789473684209</c:v>
                </c:pt>
                <c:pt idx="17">
                  <c:v>0.27777777777777773</c:v>
                </c:pt>
                <c:pt idx="18">
                  <c:v>0.29411764705882354</c:v>
                </c:pt>
                <c:pt idx="19">
                  <c:v>0.3125</c:v>
                </c:pt>
                <c:pt idx="20">
                  <c:v>0.33333333333333331</c:v>
                </c:pt>
                <c:pt idx="21">
                  <c:v>0.5</c:v>
                </c:pt>
                <c:pt idx="22">
                  <c:v>0.58333333333333337</c:v>
                </c:pt>
                <c:pt idx="23">
                  <c:v>0.64285714285714279</c:v>
                </c:pt>
                <c:pt idx="24">
                  <c:v>0.6875</c:v>
                </c:pt>
                <c:pt idx="25">
                  <c:v>0.72222222222222221</c:v>
                </c:pt>
                <c:pt idx="26">
                  <c:v>0.75</c:v>
                </c:pt>
                <c:pt idx="27">
                  <c:v>0.7727272727272726</c:v>
                </c:pt>
                <c:pt idx="28">
                  <c:v>0.79166666666666663</c:v>
                </c:pt>
                <c:pt idx="29">
                  <c:v>0.80769230769230771</c:v>
                </c:pt>
                <c:pt idx="30">
                  <c:v>0.8214285714285714</c:v>
                </c:pt>
                <c:pt idx="31">
                  <c:v>0.83333333333333337</c:v>
                </c:pt>
                <c:pt idx="32">
                  <c:v>0.875</c:v>
                </c:pt>
                <c:pt idx="33">
                  <c:v>0.9</c:v>
                </c:pt>
                <c:pt idx="34">
                  <c:v>0.91666666666666663</c:v>
                </c:pt>
                <c:pt idx="35">
                  <c:v>0.9285714285714286</c:v>
                </c:pt>
                <c:pt idx="36">
                  <c:v>0.9375</c:v>
                </c:pt>
                <c:pt idx="37">
                  <c:v>0.94444444444444442</c:v>
                </c:pt>
                <c:pt idx="38">
                  <c:v>0.95</c:v>
                </c:pt>
                <c:pt idx="39">
                  <c:v>0.95454545454545459</c:v>
                </c:pt>
                <c:pt idx="40">
                  <c:v>0.99504950495049505</c:v>
                </c:pt>
                <c:pt idx="41">
                  <c:v>0.99950049950049946</c:v>
                </c:pt>
              </c:numCache>
            </c:numRef>
          </c:xVal>
          <c:yVal>
            <c:numRef>
              <c:f>'Yagci 2003'!$J$17:$J$61</c:f>
              <c:numCache>
                <c:formatCode>0.00</c:formatCode>
                <c:ptCount val="42"/>
                <c:pt idx="0">
                  <c:v>0.16650049850448653</c:v>
                </c:pt>
                <c:pt idx="1">
                  <c:v>0.1650485436893204</c:v>
                </c:pt>
                <c:pt idx="2">
                  <c:v>0.15384615384615385</c:v>
                </c:pt>
                <c:pt idx="3">
                  <c:v>0.15277777777777779</c:v>
                </c:pt>
                <c:pt idx="4">
                  <c:v>0.15151515151515152</c:v>
                </c:pt>
                <c:pt idx="5">
                  <c:v>0.15</c:v>
                </c:pt>
                <c:pt idx="6">
                  <c:v>0.14814814814814814</c:v>
                </c:pt>
                <c:pt idx="7">
                  <c:v>0.14583333333333334</c:v>
                </c:pt>
                <c:pt idx="8">
                  <c:v>0.14285714285714285</c:v>
                </c:pt>
                <c:pt idx="9">
                  <c:v>0.1388888888888889</c:v>
                </c:pt>
                <c:pt idx="10">
                  <c:v>0.13333333333333333</c:v>
                </c:pt>
                <c:pt idx="11">
                  <c:v>0.13194444444444445</c:v>
                </c:pt>
                <c:pt idx="12">
                  <c:v>0.13043478260869565</c:v>
                </c:pt>
                <c:pt idx="13">
                  <c:v>0.12878787878787878</c:v>
                </c:pt>
                <c:pt idx="14">
                  <c:v>0.126984126984127</c:v>
                </c:pt>
                <c:pt idx="15">
                  <c:v>0.125</c:v>
                </c:pt>
                <c:pt idx="16">
                  <c:v>0.12280701754385964</c:v>
                </c:pt>
                <c:pt idx="17">
                  <c:v>0.12037037037037036</c:v>
                </c:pt>
                <c:pt idx="18">
                  <c:v>0.11764705882352941</c:v>
                </c:pt>
                <c:pt idx="19">
                  <c:v>0.11458333333333334</c:v>
                </c:pt>
                <c:pt idx="20">
                  <c:v>0.1111111111111111</c:v>
                </c:pt>
                <c:pt idx="21">
                  <c:v>0.125</c:v>
                </c:pt>
                <c:pt idx="22">
                  <c:v>0.13194444444444445</c:v>
                </c:pt>
                <c:pt idx="23">
                  <c:v>0.13690476190476189</c:v>
                </c:pt>
                <c:pt idx="24">
                  <c:v>0.140625</c:v>
                </c:pt>
                <c:pt idx="25">
                  <c:v>0.14351851851851849</c:v>
                </c:pt>
                <c:pt idx="26">
                  <c:v>0.14583333333333331</c:v>
                </c:pt>
                <c:pt idx="27">
                  <c:v>0.14772727272727271</c:v>
                </c:pt>
                <c:pt idx="28">
                  <c:v>0.14930555555555555</c:v>
                </c:pt>
                <c:pt idx="29">
                  <c:v>0.15064102564102566</c:v>
                </c:pt>
                <c:pt idx="30">
                  <c:v>0.1517857142857143</c:v>
                </c:pt>
                <c:pt idx="31">
                  <c:v>0.15277777777777776</c:v>
                </c:pt>
                <c:pt idx="32">
                  <c:v>0.15625</c:v>
                </c:pt>
                <c:pt idx="33">
                  <c:v>0.15833333333333333</c:v>
                </c:pt>
                <c:pt idx="34">
                  <c:v>0.15972222222222224</c:v>
                </c:pt>
                <c:pt idx="35">
                  <c:v>0.16071428571428573</c:v>
                </c:pt>
                <c:pt idx="36">
                  <c:v>0.16145833333333334</c:v>
                </c:pt>
                <c:pt idx="37">
                  <c:v>0.16203703703703703</c:v>
                </c:pt>
                <c:pt idx="38">
                  <c:v>0.16250000000000001</c:v>
                </c:pt>
                <c:pt idx="39">
                  <c:v>0.16287878787878787</c:v>
                </c:pt>
                <c:pt idx="40">
                  <c:v>0.16625412541254125</c:v>
                </c:pt>
                <c:pt idx="41">
                  <c:v>0.1666250416250416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E25-FB4B-A026-BD3A784838B4}"/>
            </c:ext>
          </c:extLst>
        </c:ser>
        <c:ser>
          <c:idx val="3"/>
          <c:order val="3"/>
          <c:tx>
            <c:strRef>
              <c:f>'Yagci 2003'!$A$8</c:f>
              <c:strCache>
                <c:ptCount val="1"/>
                <c:pt idx="0">
                  <c:v>Pereira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'Yagci 2003'!$G$8</c:f>
              <c:numCache>
                <c:formatCode>General</c:formatCode>
                <c:ptCount val="1"/>
                <c:pt idx="0">
                  <c:v>0.69000000000000006</c:v>
                </c:pt>
              </c:numCache>
            </c:numRef>
          </c:xVal>
          <c:yVal>
            <c:numRef>
              <c:f>'Yagci 2003'!$I$8</c:f>
              <c:numCache>
                <c:formatCode>General</c:formatCode>
                <c:ptCount val="1"/>
                <c:pt idx="0">
                  <c:v>1.02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55E-3F4C-8440-62C155478AE1}"/>
            </c:ext>
          </c:extLst>
        </c:ser>
        <c:ser>
          <c:idx val="4"/>
          <c:order val="4"/>
          <c:tx>
            <c:strRef>
              <c:f>'Yagci 2003'!$A$9</c:f>
              <c:strCache>
                <c:ptCount val="1"/>
                <c:pt idx="0">
                  <c:v>Hesselman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'Yagci 2003'!$G$9</c:f>
              <c:numCache>
                <c:formatCode>General</c:formatCode>
                <c:ptCount val="1"/>
                <c:pt idx="0">
                  <c:v>0.60000000000000009</c:v>
                </c:pt>
              </c:numCache>
            </c:numRef>
          </c:xVal>
          <c:yVal>
            <c:numRef>
              <c:f>'Yagci 2003'!$I$9</c:f>
              <c:numCache>
                <c:formatCode>General</c:formatCode>
                <c:ptCount val="1"/>
                <c:pt idx="0">
                  <c:v>1.1200000000000001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55E-3F4C-8440-62C155478A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2151632"/>
        <c:axId val="1673790672"/>
      </c:scatterChart>
      <c:valAx>
        <c:axId val="16721516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3790672"/>
        <c:crosses val="autoZero"/>
        <c:crossBetween val="midCat"/>
      </c:valAx>
      <c:valAx>
        <c:axId val="167379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215163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Yagci and Filipe GAO models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smoothMarker"/>
        <c:varyColors val="0"/>
        <c:ser>
          <c:idx val="5"/>
          <c:order val="0"/>
          <c:tx>
            <c:strRef>
              <c:f>'Filipe 2001 GAO model'!$I$4</c:f>
              <c:strCache>
                <c:ptCount val="1"/>
                <c:pt idx="0">
                  <c:v>PHV/Cfed (Filipe 2001)</c:v>
                </c:pt>
              </c:strCache>
            </c:strRef>
          </c:tx>
          <c:spPr>
            <a:ln>
              <a:solidFill>
                <a:schemeClr val="accent5">
                  <a:lumMod val="60000"/>
                  <a:lumOff val="40000"/>
                </a:schemeClr>
              </a:solidFill>
            </a:ln>
          </c:spPr>
          <c:marker>
            <c:symbol val="diamond"/>
            <c:size val="5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solidFill>
                  <a:schemeClr val="accent5">
                    <a:lumMod val="60000"/>
                    <a:lumOff val="40000"/>
                  </a:schemeClr>
                </a:solidFill>
              </a:ln>
            </c:spPr>
          </c:marker>
          <c:xVal>
            <c:numRef>
              <c:f>'Filipe 2001 GAO model'!$H$5:$H$21</c:f>
              <c:numCache>
                <c:formatCode>0.00</c:formatCode>
                <c:ptCount val="17"/>
                <c:pt idx="0">
                  <c:v>0.46666666666666667</c:v>
                </c:pt>
                <c:pt idx="1">
                  <c:v>0.50617283950617287</c:v>
                </c:pt>
                <c:pt idx="2">
                  <c:v>0.54022988505747138</c:v>
                </c:pt>
                <c:pt idx="3">
                  <c:v>0.56989247311827951</c:v>
                </c:pt>
                <c:pt idx="4">
                  <c:v>0.59595959595959602</c:v>
                </c:pt>
                <c:pt idx="5">
                  <c:v>0.61904761904761907</c:v>
                </c:pt>
                <c:pt idx="6">
                  <c:v>0.63963963963963966</c:v>
                </c:pt>
                <c:pt idx="7">
                  <c:v>0.65811965811965811</c:v>
                </c:pt>
                <c:pt idx="8">
                  <c:v>0.67479674796747968</c:v>
                </c:pt>
                <c:pt idx="9">
                  <c:v>0.68992248062015504</c:v>
                </c:pt>
                <c:pt idx="10">
                  <c:v>0.70370370370370372</c:v>
                </c:pt>
                <c:pt idx="11">
                  <c:v>0.71631205673758869</c:v>
                </c:pt>
                <c:pt idx="12">
                  <c:v>0.72789115646258506</c:v>
                </c:pt>
                <c:pt idx="13">
                  <c:v>0.73856209150326801</c:v>
                </c:pt>
                <c:pt idx="14">
                  <c:v>0.74842767295597479</c:v>
                </c:pt>
                <c:pt idx="15">
                  <c:v>0.75757575757575757</c:v>
                </c:pt>
                <c:pt idx="16">
                  <c:v>0.79487179487179482</c:v>
                </c:pt>
              </c:numCache>
            </c:numRef>
          </c:xVal>
          <c:yVal>
            <c:numRef>
              <c:f>'Filipe 2001 GAO model'!$I$5:$I$21</c:f>
              <c:numCache>
                <c:formatCode>0.00</c:formatCode>
                <c:ptCount val="17"/>
                <c:pt idx="0">
                  <c:v>0.15350877192982454</c:v>
                </c:pt>
                <c:pt idx="1">
                  <c:v>0.1935888033247769</c:v>
                </c:pt>
                <c:pt idx="2">
                  <c:v>0.22599097647437966</c:v>
                </c:pt>
                <c:pt idx="3">
                  <c:v>0.2525216481111428</c:v>
                </c:pt>
                <c:pt idx="4">
                  <c:v>0.27448858331211273</c:v>
                </c:pt>
                <c:pt idx="5">
                  <c:v>0.29285714285714293</c:v>
                </c:pt>
                <c:pt idx="6">
                  <c:v>0.30835224537514611</c:v>
                </c:pt>
                <c:pt idx="7">
                  <c:v>0.32152660802295835</c:v>
                </c:pt>
                <c:pt idx="8">
                  <c:v>0.33280743646597311</c:v>
                </c:pt>
                <c:pt idx="9">
                  <c:v>0.34252900473440501</c:v>
                </c:pt>
                <c:pt idx="10">
                  <c:v>0.35095579450418163</c:v>
                </c:pt>
                <c:pt idx="11">
                  <c:v>0.35829919386811149</c:v>
                </c:pt>
                <c:pt idx="12">
                  <c:v>0.36472972422501937</c:v>
                </c:pt>
                <c:pt idx="13">
                  <c:v>0.37038611205561234</c:v>
                </c:pt>
                <c:pt idx="14">
                  <c:v>0.37538210182354803</c:v>
                </c:pt>
                <c:pt idx="15">
                  <c:v>0.3798116298116298</c:v>
                </c:pt>
                <c:pt idx="16">
                  <c:v>0.39579606440071546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8-97BB-2949-8F43-714DFAA98614}"/>
            </c:ext>
          </c:extLst>
        </c:ser>
        <c:ser>
          <c:idx val="6"/>
          <c:order val="1"/>
          <c:tx>
            <c:strRef>
              <c:f>'Filipe 2001 GAO model'!$J$4</c:f>
              <c:strCache>
                <c:ptCount val="1"/>
                <c:pt idx="0">
                  <c:v>PHB/Cfed (Filipe 2001)</c:v>
                </c:pt>
              </c:strCache>
            </c:strRef>
          </c:tx>
          <c:spPr>
            <a:ln>
              <a:solidFill>
                <a:schemeClr val="accent2">
                  <a:lumMod val="60000"/>
                  <a:lumOff val="40000"/>
                </a:schemeClr>
              </a:solidFill>
            </a:ln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solidFill>
                  <a:schemeClr val="accent2">
                    <a:lumMod val="60000"/>
                    <a:lumOff val="40000"/>
                  </a:schemeClr>
                </a:solidFill>
              </a:ln>
            </c:spPr>
          </c:marker>
          <c:xVal>
            <c:numRef>
              <c:f>'Filipe 2001 GAO model'!$H$5:$H$21</c:f>
              <c:numCache>
                <c:formatCode>0.00</c:formatCode>
                <c:ptCount val="17"/>
                <c:pt idx="0">
                  <c:v>0.46666666666666667</c:v>
                </c:pt>
                <c:pt idx="1">
                  <c:v>0.50617283950617287</c:v>
                </c:pt>
                <c:pt idx="2">
                  <c:v>0.54022988505747138</c:v>
                </c:pt>
                <c:pt idx="3">
                  <c:v>0.56989247311827951</c:v>
                </c:pt>
                <c:pt idx="4">
                  <c:v>0.59595959595959602</c:v>
                </c:pt>
                <c:pt idx="5">
                  <c:v>0.61904761904761907</c:v>
                </c:pt>
                <c:pt idx="6">
                  <c:v>0.63963963963963966</c:v>
                </c:pt>
                <c:pt idx="7">
                  <c:v>0.65811965811965811</c:v>
                </c:pt>
                <c:pt idx="8">
                  <c:v>0.67479674796747968</c:v>
                </c:pt>
                <c:pt idx="9">
                  <c:v>0.68992248062015504</c:v>
                </c:pt>
                <c:pt idx="10">
                  <c:v>0.70370370370370372</c:v>
                </c:pt>
                <c:pt idx="11">
                  <c:v>0.71631205673758869</c:v>
                </c:pt>
                <c:pt idx="12">
                  <c:v>0.72789115646258506</c:v>
                </c:pt>
                <c:pt idx="13">
                  <c:v>0.73856209150326801</c:v>
                </c:pt>
                <c:pt idx="14">
                  <c:v>0.74842767295597479</c:v>
                </c:pt>
                <c:pt idx="15">
                  <c:v>0.75757575757575757</c:v>
                </c:pt>
                <c:pt idx="16">
                  <c:v>0.79487179487179482</c:v>
                </c:pt>
              </c:numCache>
            </c:numRef>
          </c:xVal>
          <c:yVal>
            <c:numRef>
              <c:f>'Filipe 2001 GAO model'!$J$5:$J$21</c:f>
              <c:numCache>
                <c:formatCode>0.00</c:formatCode>
                <c:ptCount val="17"/>
                <c:pt idx="0">
                  <c:v>0.71637426900584777</c:v>
                </c:pt>
                <c:pt idx="1">
                  <c:v>0.66742044574827841</c:v>
                </c:pt>
                <c:pt idx="2">
                  <c:v>0.62607870519568887</c:v>
                </c:pt>
                <c:pt idx="3">
                  <c:v>0.59074761315697644</c:v>
                </c:pt>
                <c:pt idx="4">
                  <c:v>0.56023823670882489</c:v>
                </c:pt>
                <c:pt idx="5">
                  <c:v>0.53365079365079371</c:v>
                </c:pt>
                <c:pt idx="6">
                  <c:v>0.51029273548357523</c:v>
                </c:pt>
                <c:pt idx="7">
                  <c:v>0.48962297502443486</c:v>
                </c:pt>
                <c:pt idx="8">
                  <c:v>0.4712130687740444</c:v>
                </c:pt>
                <c:pt idx="9">
                  <c:v>0.45471966425610871</c:v>
                </c:pt>
                <c:pt idx="10">
                  <c:v>0.43986459577857429</c:v>
                </c:pt>
                <c:pt idx="11">
                  <c:v>0.42642027517143144</c:v>
                </c:pt>
                <c:pt idx="12">
                  <c:v>0.41419881325783803</c:v>
                </c:pt>
                <c:pt idx="13">
                  <c:v>0.40304381225836516</c:v>
                </c:pt>
                <c:pt idx="14">
                  <c:v>0.39282409847393507</c:v>
                </c:pt>
                <c:pt idx="15">
                  <c:v>0.38342888342888332</c:v>
                </c:pt>
                <c:pt idx="16">
                  <c:v>0.34595507851321794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9-97BB-2949-8F43-714DFAA98614}"/>
            </c:ext>
          </c:extLst>
        </c:ser>
        <c:ser>
          <c:idx val="0"/>
          <c:order val="2"/>
          <c:tx>
            <c:strRef>
              <c:f>'Yagci 2003'!$H$16</c:f>
              <c:strCache>
                <c:ptCount val="1"/>
                <c:pt idx="0">
                  <c:v>PHV/Cfed (Cmol/Cmol)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diamond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'Yagci 2003'!$G$41:$G$61</c:f>
              <c:numCache>
                <c:formatCode>0.00</c:formatCode>
                <c:ptCount val="21"/>
                <c:pt idx="0">
                  <c:v>0.5</c:v>
                </c:pt>
                <c:pt idx="1">
                  <c:v>0.58333333333333337</c:v>
                </c:pt>
                <c:pt idx="2">
                  <c:v>0.64285714285714279</c:v>
                </c:pt>
                <c:pt idx="3">
                  <c:v>0.6875</c:v>
                </c:pt>
                <c:pt idx="4">
                  <c:v>0.72222222222222221</c:v>
                </c:pt>
                <c:pt idx="5">
                  <c:v>0.75</c:v>
                </c:pt>
                <c:pt idx="6">
                  <c:v>0.7727272727272726</c:v>
                </c:pt>
                <c:pt idx="7">
                  <c:v>0.79166666666666663</c:v>
                </c:pt>
                <c:pt idx="8">
                  <c:v>0.80769230769230771</c:v>
                </c:pt>
                <c:pt idx="9">
                  <c:v>0.8214285714285714</c:v>
                </c:pt>
                <c:pt idx="10">
                  <c:v>0.83333333333333337</c:v>
                </c:pt>
                <c:pt idx="11">
                  <c:v>0.875</c:v>
                </c:pt>
                <c:pt idx="12">
                  <c:v>0.9</c:v>
                </c:pt>
                <c:pt idx="13">
                  <c:v>0.91666666666666663</c:v>
                </c:pt>
                <c:pt idx="14">
                  <c:v>0.9285714285714286</c:v>
                </c:pt>
                <c:pt idx="15">
                  <c:v>0.9375</c:v>
                </c:pt>
                <c:pt idx="16">
                  <c:v>0.94444444444444442</c:v>
                </c:pt>
                <c:pt idx="17">
                  <c:v>0.95</c:v>
                </c:pt>
                <c:pt idx="18">
                  <c:v>0.95454545454545459</c:v>
                </c:pt>
                <c:pt idx="19">
                  <c:v>0.99504950495049505</c:v>
                </c:pt>
                <c:pt idx="20">
                  <c:v>0.99950049950049946</c:v>
                </c:pt>
              </c:numCache>
            </c:numRef>
          </c:xVal>
          <c:yVal>
            <c:numRef>
              <c:f>'Yagci 2003'!$H$41:$H$61</c:f>
              <c:numCache>
                <c:formatCode>0.00</c:formatCode>
                <c:ptCount val="21"/>
                <c:pt idx="0">
                  <c:v>0.20833333333333331</c:v>
                </c:pt>
                <c:pt idx="1">
                  <c:v>0.3125</c:v>
                </c:pt>
                <c:pt idx="2">
                  <c:v>0.38690476190476197</c:v>
                </c:pt>
                <c:pt idx="3">
                  <c:v>0.44270833333333331</c:v>
                </c:pt>
                <c:pt idx="4">
                  <c:v>0.4861111111111111</c:v>
                </c:pt>
                <c:pt idx="5">
                  <c:v>0.52083333333333326</c:v>
                </c:pt>
                <c:pt idx="6">
                  <c:v>0.5492424242424242</c:v>
                </c:pt>
                <c:pt idx="7">
                  <c:v>0.57291666666666663</c:v>
                </c:pt>
                <c:pt idx="8">
                  <c:v>0.59294871794871806</c:v>
                </c:pt>
                <c:pt idx="9">
                  <c:v>0.61011904761904767</c:v>
                </c:pt>
                <c:pt idx="10">
                  <c:v>0.625</c:v>
                </c:pt>
                <c:pt idx="11">
                  <c:v>0.67708333333333326</c:v>
                </c:pt>
                <c:pt idx="12">
                  <c:v>0.70833333333333326</c:v>
                </c:pt>
                <c:pt idx="13">
                  <c:v>0.72916666666666663</c:v>
                </c:pt>
                <c:pt idx="14">
                  <c:v>0.74404761904761918</c:v>
                </c:pt>
                <c:pt idx="15">
                  <c:v>0.75520833333333348</c:v>
                </c:pt>
                <c:pt idx="16">
                  <c:v>0.76388888888888884</c:v>
                </c:pt>
                <c:pt idx="17">
                  <c:v>0.77083333333333337</c:v>
                </c:pt>
                <c:pt idx="18">
                  <c:v>0.7765151515151516</c:v>
                </c:pt>
                <c:pt idx="19">
                  <c:v>0.82714521452145229</c:v>
                </c:pt>
                <c:pt idx="20">
                  <c:v>0.83270895770895759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97BB-2949-8F43-714DFAA98614}"/>
            </c:ext>
          </c:extLst>
        </c:ser>
        <c:ser>
          <c:idx val="1"/>
          <c:order val="3"/>
          <c:tx>
            <c:strRef>
              <c:f>'Yagci 2003'!$I$16</c:f>
              <c:strCache>
                <c:ptCount val="1"/>
                <c:pt idx="0">
                  <c:v>PHB/Cfed (Cmol/Cmol)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'Yagci 2003'!$G$41:$G$61</c:f>
              <c:numCache>
                <c:formatCode>0.00</c:formatCode>
                <c:ptCount val="21"/>
                <c:pt idx="0">
                  <c:v>0.5</c:v>
                </c:pt>
                <c:pt idx="1">
                  <c:v>0.58333333333333337</c:v>
                </c:pt>
                <c:pt idx="2">
                  <c:v>0.64285714285714279</c:v>
                </c:pt>
                <c:pt idx="3">
                  <c:v>0.6875</c:v>
                </c:pt>
                <c:pt idx="4">
                  <c:v>0.72222222222222221</c:v>
                </c:pt>
                <c:pt idx="5">
                  <c:v>0.75</c:v>
                </c:pt>
                <c:pt idx="6">
                  <c:v>0.7727272727272726</c:v>
                </c:pt>
                <c:pt idx="7">
                  <c:v>0.79166666666666663</c:v>
                </c:pt>
                <c:pt idx="8">
                  <c:v>0.80769230769230771</c:v>
                </c:pt>
                <c:pt idx="9">
                  <c:v>0.8214285714285714</c:v>
                </c:pt>
                <c:pt idx="10">
                  <c:v>0.83333333333333337</c:v>
                </c:pt>
                <c:pt idx="11">
                  <c:v>0.875</c:v>
                </c:pt>
                <c:pt idx="12">
                  <c:v>0.9</c:v>
                </c:pt>
                <c:pt idx="13">
                  <c:v>0.91666666666666663</c:v>
                </c:pt>
                <c:pt idx="14">
                  <c:v>0.9285714285714286</c:v>
                </c:pt>
                <c:pt idx="15">
                  <c:v>0.9375</c:v>
                </c:pt>
                <c:pt idx="16">
                  <c:v>0.94444444444444442</c:v>
                </c:pt>
                <c:pt idx="17">
                  <c:v>0.95</c:v>
                </c:pt>
                <c:pt idx="18">
                  <c:v>0.95454545454545459</c:v>
                </c:pt>
                <c:pt idx="19">
                  <c:v>0.99504950495049505</c:v>
                </c:pt>
                <c:pt idx="20">
                  <c:v>0.99950049950049946</c:v>
                </c:pt>
              </c:numCache>
            </c:numRef>
          </c:xVal>
          <c:yVal>
            <c:numRef>
              <c:f>'Yagci 2003'!$I$41:$I$61</c:f>
              <c:numCache>
                <c:formatCode>0.00</c:formatCode>
                <c:ptCount val="21"/>
                <c:pt idx="0">
                  <c:v>0.66666666666666663</c:v>
                </c:pt>
                <c:pt idx="1">
                  <c:v>0.55555555555555558</c:v>
                </c:pt>
                <c:pt idx="2">
                  <c:v>0.47619047619047622</c:v>
                </c:pt>
                <c:pt idx="3">
                  <c:v>0.41666666666666669</c:v>
                </c:pt>
                <c:pt idx="4">
                  <c:v>0.37037037037037035</c:v>
                </c:pt>
                <c:pt idx="5">
                  <c:v>0.33333333333333331</c:v>
                </c:pt>
                <c:pt idx="6">
                  <c:v>0.30303030303030298</c:v>
                </c:pt>
                <c:pt idx="7">
                  <c:v>0.27777777777777779</c:v>
                </c:pt>
                <c:pt idx="8">
                  <c:v>0.25641025641025644</c:v>
                </c:pt>
                <c:pt idx="9">
                  <c:v>0.23809523809523811</c:v>
                </c:pt>
                <c:pt idx="10">
                  <c:v>0.22222222222222221</c:v>
                </c:pt>
                <c:pt idx="11">
                  <c:v>0.16666666666666666</c:v>
                </c:pt>
                <c:pt idx="12">
                  <c:v>0.13333333333333333</c:v>
                </c:pt>
                <c:pt idx="13">
                  <c:v>0.1111111111111111</c:v>
                </c:pt>
                <c:pt idx="14">
                  <c:v>9.5238095238095233E-2</c:v>
                </c:pt>
                <c:pt idx="15">
                  <c:v>8.3333333333333329E-2</c:v>
                </c:pt>
                <c:pt idx="16">
                  <c:v>7.407407407407407E-2</c:v>
                </c:pt>
                <c:pt idx="17">
                  <c:v>6.6666666666666666E-2</c:v>
                </c:pt>
                <c:pt idx="18">
                  <c:v>6.0606060606060601E-2</c:v>
                </c:pt>
                <c:pt idx="19">
                  <c:v>6.6006600660065999E-3</c:v>
                </c:pt>
                <c:pt idx="20">
                  <c:v>6.66000666000666E-4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97BB-2949-8F43-714DFAA98614}"/>
            </c:ext>
          </c:extLst>
        </c:ser>
        <c:ser>
          <c:idx val="3"/>
          <c:order val="4"/>
          <c:tx>
            <c:strRef>
              <c:f>'Yagci 2003'!$A$8</c:f>
              <c:strCache>
                <c:ptCount val="1"/>
                <c:pt idx="0">
                  <c:v>Pereira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'Yagci 2003'!$G$8</c:f>
              <c:numCache>
                <c:formatCode>General</c:formatCode>
                <c:ptCount val="1"/>
                <c:pt idx="0">
                  <c:v>0.69000000000000006</c:v>
                </c:pt>
              </c:numCache>
            </c:numRef>
          </c:xVal>
          <c:yVal>
            <c:numRef>
              <c:f>'Yagci 2003'!$I$8</c:f>
              <c:numCache>
                <c:formatCode>General</c:formatCode>
                <c:ptCount val="1"/>
                <c:pt idx="0">
                  <c:v>1.02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5-97BB-2949-8F43-714DFAA98614}"/>
            </c:ext>
          </c:extLst>
        </c:ser>
        <c:ser>
          <c:idx val="4"/>
          <c:order val="5"/>
          <c:tx>
            <c:strRef>
              <c:f>'Yagci 2003'!$A$9</c:f>
              <c:strCache>
                <c:ptCount val="1"/>
                <c:pt idx="0">
                  <c:v>Hesselman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'Yagci 2003'!$G$9</c:f>
              <c:numCache>
                <c:formatCode>General</c:formatCode>
                <c:ptCount val="1"/>
                <c:pt idx="0">
                  <c:v>0.60000000000000009</c:v>
                </c:pt>
              </c:numCache>
            </c:numRef>
          </c:xVal>
          <c:yVal>
            <c:numRef>
              <c:f>'Yagci 2003'!$I$9</c:f>
              <c:numCache>
                <c:formatCode>General</c:formatCode>
                <c:ptCount val="1"/>
                <c:pt idx="0">
                  <c:v>1.1200000000000001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7-97BB-2949-8F43-714DFAA986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2151632"/>
        <c:axId val="1673790672"/>
      </c:scatterChart>
      <c:valAx>
        <c:axId val="16721516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3790672"/>
        <c:crosses val="autoZero"/>
        <c:crossBetween val="midCat"/>
      </c:valAx>
      <c:valAx>
        <c:axId val="167379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2151632"/>
        <c:crosses val="autoZero"/>
        <c:crossBetween val="midCat"/>
      </c:valAx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en-N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strRef>
              <c:f>'Acevedo 2014 PAMGAM model'!$J$4</c:f>
              <c:strCache>
                <c:ptCount val="1"/>
                <c:pt idx="0">
                  <c:v>PHV/Cfed (Cmol/Cmol)</c:v>
                </c:pt>
              </c:strCache>
            </c:strRef>
          </c:tx>
          <c:marker>
            <c:symbol val="circle"/>
            <c:size val="5"/>
          </c:marker>
          <c:xVal>
            <c:numRef>
              <c:f>'Acevedo 2014 PAMGAM model'!$I$6:$I$21</c:f>
              <c:numCache>
                <c:formatCode>0.00</c:formatCode>
                <c:ptCount val="16"/>
                <c:pt idx="0">
                  <c:v>0.50074887668497259</c:v>
                </c:pt>
                <c:pt idx="1">
                  <c:v>0.51992318771003354</c:v>
                </c:pt>
                <c:pt idx="2">
                  <c:v>0.53767914932963468</c:v>
                </c:pt>
                <c:pt idx="3">
                  <c:v>0.55416852429781538</c:v>
                </c:pt>
                <c:pt idx="4">
                  <c:v>0.56952216960826518</c:v>
                </c:pt>
                <c:pt idx="5">
                  <c:v>0.58385351643778616</c:v>
                </c:pt>
                <c:pt idx="6">
                  <c:v>0.59726137736608942</c:v>
                </c:pt>
                <c:pt idx="7">
                  <c:v>0.60983222785797897</c:v>
                </c:pt>
                <c:pt idx="8">
                  <c:v>0.62164207340143784</c:v>
                </c:pt>
                <c:pt idx="9">
                  <c:v>0.63275798751377155</c:v>
                </c:pt>
                <c:pt idx="10">
                  <c:v>0.6432393863717446</c:v>
                </c:pt>
                <c:pt idx="11">
                  <c:v>0.65313909122441904</c:v>
                </c:pt>
                <c:pt idx="12">
                  <c:v>0.66250421869726628</c:v>
                </c:pt>
                <c:pt idx="13">
                  <c:v>0.67137693066053239</c:v>
                </c:pt>
                <c:pt idx="14">
                  <c:v>0.67979506884406027</c:v>
                </c:pt>
                <c:pt idx="15">
                  <c:v>0.68779269434904777</c:v>
                </c:pt>
              </c:numCache>
            </c:numRef>
          </c:xVal>
          <c:yVal>
            <c:numRef>
              <c:f>'Acevedo 2014 PAMGAM model'!$J$6:$J$21</c:f>
              <c:numCache>
                <c:formatCode>0.000</c:formatCode>
                <c:ptCount val="16"/>
                <c:pt idx="0">
                  <c:v>0.28255147816629039</c:v>
                </c:pt>
                <c:pt idx="1">
                  <c:v>0.31609825379519746</c:v>
                </c:pt>
                <c:pt idx="2">
                  <c:v>0.34760352906941444</c:v>
                </c:pt>
                <c:pt idx="3">
                  <c:v>0.37731796670778234</c:v>
                </c:pt>
                <c:pt idx="4">
                  <c:v>0.4054541730663539</c:v>
                </c:pt>
                <c:pt idx="5">
                  <c:v>0.43219350272726709</c:v>
                </c:pt>
                <c:pt idx="6">
                  <c:v>0.45769147450399889</c:v>
                </c:pt>
                <c:pt idx="7">
                  <c:v>0.48208211521785793</c:v>
                </c:pt>
                <c:pt idx="8">
                  <c:v>0.50548146843684738</c:v>
                </c:pt>
                <c:pt idx="9">
                  <c:v>0.52799044769114378</c:v>
                </c:pt>
                <c:pt idx="10">
                  <c:v>0.54969717122628869</c:v>
                </c:pt>
                <c:pt idx="11">
                  <c:v>0.57067888380747389</c:v>
                </c:pt>
                <c:pt idx="12">
                  <c:v>0.59100354743345807</c:v>
                </c:pt>
                <c:pt idx="13">
                  <c:v>0.6107311649317313</c:v>
                </c:pt>
                <c:pt idx="14">
                  <c:v>0.62991488677327967</c:v>
                </c:pt>
                <c:pt idx="15">
                  <c:v>0.64860194097587243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6D3C-9843-90A4-6B757530C583}"/>
            </c:ext>
          </c:extLst>
        </c:ser>
        <c:ser>
          <c:idx val="5"/>
          <c:order val="1"/>
          <c:tx>
            <c:strRef>
              <c:f>'Acevedo 2014 PAMGAM model'!$K$4</c:f>
              <c:strCache>
                <c:ptCount val="1"/>
                <c:pt idx="0">
                  <c:v>PHB/Cfed (Cmol/Cmol)</c:v>
                </c:pt>
              </c:strCache>
            </c:strRef>
          </c:tx>
          <c:spPr>
            <a:ln>
              <a:solidFill>
                <a:schemeClr val="accent2"/>
              </a:solidFill>
            </a:ln>
          </c:spPr>
          <c:marker>
            <c:symbol val="circle"/>
            <c:size val="5"/>
            <c:spPr>
              <a:solidFill>
                <a:schemeClr val="accent2"/>
              </a:solidFill>
              <a:ln>
                <a:solidFill>
                  <a:schemeClr val="accent2"/>
                </a:solidFill>
              </a:ln>
            </c:spPr>
          </c:marker>
          <c:xVal>
            <c:numRef>
              <c:f>'Acevedo 2014 PAMGAM model'!$I$6:$I$21</c:f>
              <c:numCache>
                <c:formatCode>0.00</c:formatCode>
                <c:ptCount val="16"/>
                <c:pt idx="0">
                  <c:v>0.50074887668497259</c:v>
                </c:pt>
                <c:pt idx="1">
                  <c:v>0.51992318771003354</c:v>
                </c:pt>
                <c:pt idx="2">
                  <c:v>0.53767914932963468</c:v>
                </c:pt>
                <c:pt idx="3">
                  <c:v>0.55416852429781538</c:v>
                </c:pt>
                <c:pt idx="4">
                  <c:v>0.56952216960826518</c:v>
                </c:pt>
                <c:pt idx="5">
                  <c:v>0.58385351643778616</c:v>
                </c:pt>
                <c:pt idx="6">
                  <c:v>0.59726137736608942</c:v>
                </c:pt>
                <c:pt idx="7">
                  <c:v>0.60983222785797897</c:v>
                </c:pt>
                <c:pt idx="8">
                  <c:v>0.62164207340143784</c:v>
                </c:pt>
                <c:pt idx="9">
                  <c:v>0.63275798751377155</c:v>
                </c:pt>
                <c:pt idx="10">
                  <c:v>0.6432393863717446</c:v>
                </c:pt>
                <c:pt idx="11">
                  <c:v>0.65313909122441904</c:v>
                </c:pt>
                <c:pt idx="12">
                  <c:v>0.66250421869726628</c:v>
                </c:pt>
                <c:pt idx="13">
                  <c:v>0.67137693066053239</c:v>
                </c:pt>
                <c:pt idx="14">
                  <c:v>0.67979506884406027</c:v>
                </c:pt>
                <c:pt idx="15">
                  <c:v>0.68779269434904777</c:v>
                </c:pt>
              </c:numCache>
            </c:numRef>
          </c:xVal>
          <c:yVal>
            <c:numRef>
              <c:f>'Acevedo 2014 PAMGAM model'!$K$6:$K$21</c:f>
              <c:numCache>
                <c:formatCode>0.000</c:formatCode>
                <c:ptCount val="16"/>
                <c:pt idx="0">
                  <c:v>0.67407907316013593</c:v>
                </c:pt>
                <c:pt idx="1">
                  <c:v>0.65063105412390565</c:v>
                </c:pt>
                <c:pt idx="2">
                  <c:v>0.62914665894916644</c:v>
                </c:pt>
                <c:pt idx="3">
                  <c:v>0.60939644690355155</c:v>
                </c:pt>
                <c:pt idx="4">
                  <c:v>0.59118469948921604</c:v>
                </c:pt>
                <c:pt idx="5">
                  <c:v>0.57434352521895948</c:v>
                </c:pt>
                <c:pt idx="6">
                  <c:v>0.55872814791942904</c:v>
                </c:pt>
                <c:pt idx="7">
                  <c:v>0.54421311219325441</c:v>
                </c:pt>
                <c:pt idx="8">
                  <c:v>0.53068920570797617</c:v>
                </c:pt>
                <c:pt idx="9">
                  <c:v>0.51806094622189092</c:v>
                </c:pt>
                <c:pt idx="10">
                  <c:v>0.50624451686227656</c:v>
                </c:pt>
                <c:pt idx="11">
                  <c:v>0.49516605970279731</c:v>
                </c:pt>
                <c:pt idx="12">
                  <c:v>0.48476025763509889</c:v>
                </c:pt>
                <c:pt idx="13">
                  <c:v>0.47496914965526732</c:v>
                </c:pt>
                <c:pt idx="14">
                  <c:v>0.46574113624641744</c:v>
                </c:pt>
                <c:pt idx="15">
                  <c:v>0.45703014044101403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6D3C-9843-90A4-6B757530C583}"/>
            </c:ext>
          </c:extLst>
        </c:ser>
        <c:ser>
          <c:idx val="6"/>
          <c:order val="2"/>
          <c:tx>
            <c:strRef>
              <c:f>'Acevedo 2014 PAMGAM model'!$M$4</c:f>
              <c:strCache>
                <c:ptCount val="1"/>
                <c:pt idx="0">
                  <c:v>CO2/Cfed (Cmol/Cmol)</c:v>
                </c:pt>
              </c:strCache>
            </c:strRef>
          </c:tx>
          <c:spPr>
            <a:ln>
              <a:solidFill>
                <a:schemeClr val="accent3"/>
              </a:solidFill>
            </a:ln>
          </c:spPr>
          <c:marker>
            <c:symbol val="circle"/>
            <c:size val="5"/>
            <c:spPr>
              <a:solidFill>
                <a:schemeClr val="accent3"/>
              </a:solidFill>
              <a:ln>
                <a:solidFill>
                  <a:schemeClr val="accent3"/>
                </a:solidFill>
              </a:ln>
            </c:spPr>
          </c:marker>
          <c:xVal>
            <c:numRef>
              <c:f>'Acevedo 2014 PAMGAM model'!$I$6:$I$21</c:f>
              <c:numCache>
                <c:formatCode>0.00</c:formatCode>
                <c:ptCount val="16"/>
                <c:pt idx="0">
                  <c:v>0.50074887668497259</c:v>
                </c:pt>
                <c:pt idx="1">
                  <c:v>0.51992318771003354</c:v>
                </c:pt>
                <c:pt idx="2">
                  <c:v>0.53767914932963468</c:v>
                </c:pt>
                <c:pt idx="3">
                  <c:v>0.55416852429781538</c:v>
                </c:pt>
                <c:pt idx="4">
                  <c:v>0.56952216960826518</c:v>
                </c:pt>
                <c:pt idx="5">
                  <c:v>0.58385351643778616</c:v>
                </c:pt>
                <c:pt idx="6">
                  <c:v>0.59726137736608942</c:v>
                </c:pt>
                <c:pt idx="7">
                  <c:v>0.60983222785797897</c:v>
                </c:pt>
                <c:pt idx="8">
                  <c:v>0.62164207340143784</c:v>
                </c:pt>
                <c:pt idx="9">
                  <c:v>0.63275798751377155</c:v>
                </c:pt>
                <c:pt idx="10">
                  <c:v>0.6432393863717446</c:v>
                </c:pt>
                <c:pt idx="11">
                  <c:v>0.65313909122441904</c:v>
                </c:pt>
                <c:pt idx="12">
                  <c:v>0.66250421869726628</c:v>
                </c:pt>
                <c:pt idx="13">
                  <c:v>0.67137693066053239</c:v>
                </c:pt>
                <c:pt idx="14">
                  <c:v>0.67979506884406027</c:v>
                </c:pt>
                <c:pt idx="15">
                  <c:v>0.68779269434904777</c:v>
                </c:pt>
              </c:numCache>
            </c:numRef>
          </c:xVal>
          <c:yVal>
            <c:numRef>
              <c:f>'Acevedo 2014 PAMGAM model'!$M$6:$M$21</c:f>
              <c:numCache>
                <c:formatCode>0.00</c:formatCode>
                <c:ptCount val="16"/>
                <c:pt idx="0">
                  <c:v>3.0753085563424758E-2</c:v>
                </c:pt>
                <c:pt idx="1">
                  <c:v>1.7477735474971293E-2</c:v>
                </c:pt>
                <c:pt idx="2">
                  <c:v>4.1715248983997134E-3</c:v>
                </c:pt>
                <c:pt idx="3">
                  <c:v>-9.1461325622922193E-3</c:v>
                </c:pt>
                <c:pt idx="4">
                  <c:v>-2.2460261005924406E-2</c:v>
                </c:pt>
                <c:pt idx="5">
                  <c:v>-3.5759348650238061E-2</c:v>
                </c:pt>
                <c:pt idx="6">
                  <c:v>-4.9034599034750277E-2</c:v>
                </c:pt>
                <c:pt idx="7">
                  <c:v>-6.2279351416952046E-2</c:v>
                </c:pt>
                <c:pt idx="8">
                  <c:v>-7.5488629509663285E-2</c:v>
                </c:pt>
                <c:pt idx="9">
                  <c:v>-8.865878827341421E-2</c:v>
                </c:pt>
                <c:pt idx="10">
                  <c:v>-0.10178723612546914</c:v>
                </c:pt>
                <c:pt idx="11">
                  <c:v>-0.11487221551330522</c:v>
                </c:pt>
                <c:pt idx="12">
                  <c:v>-0.12791262891573793</c:v>
                </c:pt>
                <c:pt idx="13">
                  <c:v>-0.1409079003909644</c:v>
                </c:pt>
                <c:pt idx="14">
                  <c:v>-0.15385786507744381</c:v>
                </c:pt>
                <c:pt idx="15">
                  <c:v>-0.16676268077650319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6D3C-9843-90A4-6B757530C583}"/>
            </c:ext>
          </c:extLst>
        </c:ser>
        <c:ser>
          <c:idx val="7"/>
          <c:order val="3"/>
          <c:tx>
            <c:strRef>
              <c:f>'Acevedo 2014 PAMGAM model'!$L$4</c:f>
              <c:strCache>
                <c:ptCount val="1"/>
                <c:pt idx="0">
                  <c:v>PH2MV/Cfed (Cmol/Cmol)</c:v>
                </c:pt>
              </c:strCache>
            </c:strRef>
          </c:tx>
          <c:spPr>
            <a:ln>
              <a:solidFill>
                <a:schemeClr val="accent4"/>
              </a:solidFill>
            </a:ln>
          </c:spPr>
          <c:marker>
            <c:symbol val="circle"/>
            <c:size val="5"/>
            <c:spPr>
              <a:ln>
                <a:solidFill>
                  <a:schemeClr val="accent4"/>
                </a:solidFill>
              </a:ln>
            </c:spPr>
          </c:marker>
          <c:xVal>
            <c:numRef>
              <c:f>'Acevedo 2014 PAMGAM model'!$I$6:$I$21</c:f>
              <c:numCache>
                <c:formatCode>0.00</c:formatCode>
                <c:ptCount val="16"/>
                <c:pt idx="0">
                  <c:v>0.50074887668497259</c:v>
                </c:pt>
                <c:pt idx="1">
                  <c:v>0.51992318771003354</c:v>
                </c:pt>
                <c:pt idx="2">
                  <c:v>0.53767914932963468</c:v>
                </c:pt>
                <c:pt idx="3">
                  <c:v>0.55416852429781538</c:v>
                </c:pt>
                <c:pt idx="4">
                  <c:v>0.56952216960826518</c:v>
                </c:pt>
                <c:pt idx="5">
                  <c:v>0.58385351643778616</c:v>
                </c:pt>
                <c:pt idx="6">
                  <c:v>0.59726137736608942</c:v>
                </c:pt>
                <c:pt idx="7">
                  <c:v>0.60983222785797897</c:v>
                </c:pt>
                <c:pt idx="8">
                  <c:v>0.62164207340143784</c:v>
                </c:pt>
                <c:pt idx="9">
                  <c:v>0.63275798751377155</c:v>
                </c:pt>
                <c:pt idx="10">
                  <c:v>0.6432393863717446</c:v>
                </c:pt>
                <c:pt idx="11">
                  <c:v>0.65313909122441904</c:v>
                </c:pt>
                <c:pt idx="12">
                  <c:v>0.66250421869726628</c:v>
                </c:pt>
                <c:pt idx="13">
                  <c:v>0.67137693066053239</c:v>
                </c:pt>
                <c:pt idx="14">
                  <c:v>0.67979506884406027</c:v>
                </c:pt>
                <c:pt idx="15">
                  <c:v>0.68779269434904777</c:v>
                </c:pt>
              </c:numCache>
            </c:numRef>
          </c:xVal>
          <c:yVal>
            <c:numRef>
              <c:f>'Acevedo 2014 PAMGAM model'!$L$6:$L$21</c:f>
              <c:numCache>
                <c:formatCode>0.000</c:formatCode>
                <c:ptCount val="16"/>
                <c:pt idx="0">
                  <c:v>1.2616363110149001E-2</c:v>
                </c:pt>
                <c:pt idx="1">
                  <c:v>1.5792956605925699E-2</c:v>
                </c:pt>
                <c:pt idx="2">
                  <c:v>1.9078287083019316E-2</c:v>
                </c:pt>
                <c:pt idx="3">
                  <c:v>2.2431718950958378E-2</c:v>
                </c:pt>
                <c:pt idx="4">
                  <c:v>2.5821388450354525E-2</c:v>
                </c:pt>
                <c:pt idx="5">
                  <c:v>2.9222320704011474E-2</c:v>
                </c:pt>
                <c:pt idx="6">
                  <c:v>3.2614976611322392E-2</c:v>
                </c:pt>
                <c:pt idx="7">
                  <c:v>3.5984124005839647E-2</c:v>
                </c:pt>
                <c:pt idx="8">
                  <c:v>3.931795536483973E-2</c:v>
                </c:pt>
                <c:pt idx="9">
                  <c:v>4.2607394360379601E-2</c:v>
                </c:pt>
                <c:pt idx="10">
                  <c:v>4.5845548036903931E-2</c:v>
                </c:pt>
                <c:pt idx="11">
                  <c:v>4.902727200303407E-2</c:v>
                </c:pt>
                <c:pt idx="12">
                  <c:v>5.2148823847180968E-2</c:v>
                </c:pt>
                <c:pt idx="13">
                  <c:v>5.5207585803965731E-2</c:v>
                </c:pt>
                <c:pt idx="14">
                  <c:v>5.8201842057746651E-2</c:v>
                </c:pt>
                <c:pt idx="15">
                  <c:v>6.1130599359616705E-2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6D3C-9843-90A4-6B757530C583}"/>
            </c:ext>
          </c:extLst>
        </c:ser>
        <c:ser>
          <c:idx val="0"/>
          <c:order val="4"/>
          <c:tx>
            <c:strRef>
              <c:f>'Acevedo 2014 PAMGAM model'!$J$4</c:f>
              <c:strCache>
                <c:ptCount val="1"/>
                <c:pt idx="0">
                  <c:v>PHV/Cfed (Cmol/Cmol)</c:v>
                </c:pt>
              </c:strCache>
            </c:strRef>
          </c:tx>
          <c:spPr>
            <a:ln w="19050" cap="rnd">
              <a:solidFill>
                <a:schemeClr val="accent1"/>
              </a:solidFill>
              <a:prstDash val="sysDot"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'Acevedo 2014 PAMGAM model'!$I$5:$I$6</c:f>
              <c:numCache>
                <c:formatCode>0.00</c:formatCode>
                <c:ptCount val="2"/>
                <c:pt idx="0">
                  <c:v>0.33333333333333331</c:v>
                </c:pt>
                <c:pt idx="1">
                  <c:v>0.50074887668497259</c:v>
                </c:pt>
              </c:numCache>
            </c:numRef>
          </c:xVal>
          <c:yVal>
            <c:numRef>
              <c:f>'Acevedo 2014 PAMGAM model'!$J$5:$J$6</c:f>
              <c:numCache>
                <c:formatCode>0.000</c:formatCode>
                <c:ptCount val="2"/>
                <c:pt idx="0">
                  <c:v>0</c:v>
                </c:pt>
                <c:pt idx="1">
                  <c:v>0.28255147816629039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6D3C-9843-90A4-6B757530C583}"/>
            </c:ext>
          </c:extLst>
        </c:ser>
        <c:ser>
          <c:idx val="1"/>
          <c:order val="5"/>
          <c:tx>
            <c:strRef>
              <c:f>'Acevedo 2014 PAMGAM model'!$K$4</c:f>
              <c:strCache>
                <c:ptCount val="1"/>
                <c:pt idx="0">
                  <c:v>PHB/Cfed (Cmol/Cmol)</c:v>
                </c:pt>
              </c:strCache>
            </c:strRef>
          </c:tx>
          <c:spPr>
            <a:ln w="19050" cap="rnd">
              <a:solidFill>
                <a:schemeClr val="accent2"/>
              </a:solidFill>
              <a:prstDash val="sysDot"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'Acevedo 2014 PAMGAM model'!$I$5:$I$6</c:f>
              <c:numCache>
                <c:formatCode>0.00</c:formatCode>
                <c:ptCount val="2"/>
                <c:pt idx="0">
                  <c:v>0.33333333333333331</c:v>
                </c:pt>
                <c:pt idx="1">
                  <c:v>0.50074887668497259</c:v>
                </c:pt>
              </c:numCache>
            </c:numRef>
          </c:xVal>
          <c:yVal>
            <c:numRef>
              <c:f>'Acevedo 2014 PAMGAM model'!$K$5:$K$6</c:f>
              <c:numCache>
                <c:formatCode>0.000</c:formatCode>
                <c:ptCount val="2"/>
                <c:pt idx="0">
                  <c:v>0.88888888888888884</c:v>
                </c:pt>
                <c:pt idx="1">
                  <c:v>0.67407907316013593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6D3C-9843-90A4-6B757530C583}"/>
            </c:ext>
          </c:extLst>
        </c:ser>
        <c:ser>
          <c:idx val="2"/>
          <c:order val="6"/>
          <c:tx>
            <c:strRef>
              <c:f>'Acevedo 2014 PAMGAM model'!$M$4</c:f>
              <c:strCache>
                <c:ptCount val="1"/>
                <c:pt idx="0">
                  <c:v>CO2/Cfed (Cmol/Cmol)</c:v>
                </c:pt>
              </c:strCache>
            </c:strRef>
          </c:tx>
          <c:spPr>
            <a:ln w="19050" cap="rnd">
              <a:solidFill>
                <a:schemeClr val="accent3"/>
              </a:solidFill>
              <a:prstDash val="sysDot"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'Acevedo 2014 PAMGAM model'!$I$5:$I$6</c:f>
              <c:numCache>
                <c:formatCode>0.00</c:formatCode>
                <c:ptCount val="2"/>
                <c:pt idx="0">
                  <c:v>0.33333333333333331</c:v>
                </c:pt>
                <c:pt idx="1">
                  <c:v>0.50074887668497259</c:v>
                </c:pt>
              </c:numCache>
            </c:numRef>
          </c:xVal>
          <c:yVal>
            <c:numRef>
              <c:f>'Acevedo 2014 PAMGAM model'!$M$5:$M$6</c:f>
              <c:numCache>
                <c:formatCode>0.00</c:formatCode>
                <c:ptCount val="2"/>
                <c:pt idx="0">
                  <c:v>0.11111111111111116</c:v>
                </c:pt>
                <c:pt idx="1">
                  <c:v>3.0753085563424758E-2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6D3C-9843-90A4-6B757530C583}"/>
            </c:ext>
          </c:extLst>
        </c:ser>
        <c:ser>
          <c:idx val="3"/>
          <c:order val="7"/>
          <c:tx>
            <c:strRef>
              <c:f>'Acevedo 2014 PAMGAM model'!$L$4</c:f>
              <c:strCache>
                <c:ptCount val="1"/>
                <c:pt idx="0">
                  <c:v>PH2MV/Cfed (Cmol/Cmol)</c:v>
                </c:pt>
              </c:strCache>
            </c:strRef>
          </c:tx>
          <c:spPr>
            <a:ln w="19050" cap="rnd">
              <a:solidFill>
                <a:schemeClr val="accent4"/>
              </a:solidFill>
              <a:prstDash val="sysDot"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'Acevedo 2014 PAMGAM model'!$I$5:$I$6</c:f>
              <c:numCache>
                <c:formatCode>0.00</c:formatCode>
                <c:ptCount val="2"/>
                <c:pt idx="0">
                  <c:v>0.33333333333333331</c:v>
                </c:pt>
                <c:pt idx="1">
                  <c:v>0.50074887668497259</c:v>
                </c:pt>
              </c:numCache>
            </c:numRef>
          </c:xVal>
          <c:yVal>
            <c:numRef>
              <c:f>'Acevedo 2014 PAMGAM model'!$L$5:$L$6</c:f>
              <c:numCache>
                <c:formatCode>0.000</c:formatCode>
                <c:ptCount val="2"/>
                <c:pt idx="0">
                  <c:v>0</c:v>
                </c:pt>
                <c:pt idx="1">
                  <c:v>1.2616363110149001E-2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6D3C-9843-90A4-6B757530C5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5185088"/>
        <c:axId val="1674303920"/>
      </c:scatterChart>
      <c:valAx>
        <c:axId val="16751850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4303920"/>
        <c:crosses val="autoZero"/>
        <c:crossBetween val="midCat"/>
      </c:valAx>
      <c:valAx>
        <c:axId val="1674303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5185088"/>
        <c:crosses val="autoZero"/>
        <c:crossBetween val="midCat"/>
      </c:valAx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en-N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emf"/><Relationship Id="rId1" Type="http://schemas.openxmlformats.org/officeDocument/2006/relationships/image" Target="../media/image15.emf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image" Target="../media/image17.emf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emf"/><Relationship Id="rId1" Type="http://schemas.openxmlformats.org/officeDocument/2006/relationships/chart" Target="../charts/chart5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5" Type="http://schemas.openxmlformats.org/officeDocument/2006/relationships/image" Target="../media/image4.emf"/><Relationship Id="rId4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emf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32</xdr:col>
      <xdr:colOff>215900</xdr:colOff>
      <xdr:row>3</xdr:row>
      <xdr:rowOff>76200</xdr:rowOff>
    </xdr:from>
    <xdr:to>
      <xdr:col>39</xdr:col>
      <xdr:colOff>254000</xdr:colOff>
      <xdr:row>21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32</xdr:col>
      <xdr:colOff>50800</xdr:colOff>
      <xdr:row>22</xdr:row>
      <xdr:rowOff>63500</xdr:rowOff>
    </xdr:from>
    <xdr:to>
      <xdr:col>37</xdr:col>
      <xdr:colOff>495300</xdr:colOff>
      <xdr:row>39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596900</xdr:colOff>
      <xdr:row>21</xdr:row>
      <xdr:rowOff>164064</xdr:rowOff>
    </xdr:from>
    <xdr:to>
      <xdr:col>11</xdr:col>
      <xdr:colOff>203206</xdr:colOff>
      <xdr:row>59</xdr:row>
      <xdr:rowOff>150335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842017" y="2170147"/>
          <a:ext cx="7707871" cy="10198106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19</xdr:col>
      <xdr:colOff>647700</xdr:colOff>
      <xdr:row>0</xdr:row>
      <xdr:rowOff>342414</xdr:rowOff>
    </xdr:from>
    <xdr:to>
      <xdr:col>32</xdr:col>
      <xdr:colOff>342900</xdr:colOff>
      <xdr:row>31</xdr:row>
      <xdr:rowOff>11151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13291081" y="-1683767"/>
          <a:ext cx="6374337" cy="104267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431800</xdr:colOff>
      <xdr:row>3</xdr:row>
      <xdr:rowOff>101600</xdr:rowOff>
    </xdr:from>
    <xdr:to>
      <xdr:col>27</xdr:col>
      <xdr:colOff>164462</xdr:colOff>
      <xdr:row>36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A92D9EF-C5D3-ED4B-8B7C-3897E30FE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60400" y="3352800"/>
          <a:ext cx="8813162" cy="6959600"/>
        </a:xfrm>
        <a:prstGeom prst="rect">
          <a:avLst/>
        </a:prstGeom>
        <a:solidFill>
          <a:schemeClr val="bg1"/>
        </a:solidFill>
      </xdr:spPr>
    </xdr:pic>
    <xdr:clientData/>
  </xdr:twoCellAnchor>
  <xdr:twoCellAnchor>
    <xdr:from>
      <xdr:col>1</xdr:col>
      <xdr:colOff>215900</xdr:colOff>
      <xdr:row>22</xdr:row>
      <xdr:rowOff>139700</xdr:rowOff>
    </xdr:from>
    <xdr:to>
      <xdr:col>13</xdr:col>
      <xdr:colOff>749300</xdr:colOff>
      <xdr:row>41</xdr:row>
      <xdr:rowOff>25400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C4D591A-645E-E340-A417-FDD9230BE6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342900</xdr:colOff>
      <xdr:row>1</xdr:row>
      <xdr:rowOff>152400</xdr:rowOff>
    </xdr:from>
    <xdr:to>
      <xdr:col>26</xdr:col>
      <xdr:colOff>584200</xdr:colOff>
      <xdr:row>23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B984FF8-7DE2-284A-81FD-BC14CC1346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7</xdr:col>
      <xdr:colOff>292100</xdr:colOff>
      <xdr:row>21</xdr:row>
      <xdr:rowOff>72390</xdr:rowOff>
    </xdr:from>
    <xdr:to>
      <xdr:col>12</xdr:col>
      <xdr:colOff>711200</xdr:colOff>
      <xdr:row>53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C2C148-E028-4A44-B3A5-464FA7D71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16600" y="5558790"/>
          <a:ext cx="4965700" cy="645541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76200</xdr:colOff>
      <xdr:row>9</xdr:row>
      <xdr:rowOff>127000</xdr:rowOff>
    </xdr:from>
    <xdr:to>
      <xdr:col>23</xdr:col>
      <xdr:colOff>452966</xdr:colOff>
      <xdr:row>31</xdr:row>
      <xdr:rowOff>33868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174160-1382-F34A-93DA-EE9AB3918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91600" y="2362200"/>
          <a:ext cx="6515100" cy="457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482600</xdr:colOff>
      <xdr:row>15</xdr:row>
      <xdr:rowOff>307218</xdr:rowOff>
    </xdr:from>
    <xdr:to>
      <xdr:col>15</xdr:col>
      <xdr:colOff>801310</xdr:colOff>
      <xdr:row>35</xdr:row>
      <xdr:rowOff>175986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20DFA4-89C8-CE46-AE37-A2F123251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42386" y="3709004"/>
          <a:ext cx="3185281" cy="4050696"/>
        </a:xfrm>
        <a:prstGeom prst="rect">
          <a:avLst/>
        </a:prstGeom>
      </xdr:spPr>
    </xdr:pic>
    <xdr:clientData/>
  </xdr:twoCellAnchor>
  <xdr:twoCellAnchor>
    <xdr:from>
      <xdr:col>4</xdr:col>
      <xdr:colOff>321129</xdr:colOff>
      <xdr:row>30</xdr:row>
      <xdr:rowOff>89505</xdr:rowOff>
    </xdr:from>
    <xdr:to>
      <xdr:col>14</xdr:col>
      <xdr:colOff>827314</xdr:colOff>
      <xdr:row>43</xdr:row>
      <xdr:rowOff>169334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0CA1F37-D124-5F4B-AD8D-ABB66A06C6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514652</xdr:colOff>
      <xdr:row>42</xdr:row>
      <xdr:rowOff>130627</xdr:rowOff>
    </xdr:from>
    <xdr:to>
      <xdr:col>16</xdr:col>
      <xdr:colOff>1094015</xdr:colOff>
      <xdr:row>57</xdr:row>
      <xdr:rowOff>54427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B33211F5-A6DE-0948-8D37-87918382809B}"/>
            </a:ext>
          </a:extLst>
        </xdr:cNvPr>
        <xdr:cNvGrpSpPr/>
      </xdr:nvGrpSpPr>
      <xdr:grpSpPr>
        <a:xfrm>
          <a:off x="10750247" y="8446103"/>
          <a:ext cx="4268411" cy="2872014"/>
          <a:chOff x="5579533" y="8322733"/>
          <a:chExt cx="3263900" cy="2260600"/>
        </a:xfrm>
      </xdr:grpSpPr>
      <xdr:pic>
        <xdr:nvPicPr>
          <xdr:cNvPr id="5" name="Picture 4">
            <a:extLst>
              <a:ext uri="{FF2B5EF4-FFF2-40B4-BE49-F238E27FC236}">
                <a16:creationId xmlns:a16="http://schemas.microsoft.com/office/drawing/2014/main" id="{904DA585-AA15-1F4E-8E99-88D1DF12E5C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5579533" y="8322733"/>
            <a:ext cx="3263900" cy="876300"/>
          </a:xfrm>
          <a:prstGeom prst="rect">
            <a:avLst/>
          </a:prstGeom>
        </xdr:spPr>
      </xdr:pic>
      <xdr:pic>
        <xdr:nvPicPr>
          <xdr:cNvPr id="6" name="Picture 5">
            <a:extLst>
              <a:ext uri="{FF2B5EF4-FFF2-40B4-BE49-F238E27FC236}">
                <a16:creationId xmlns:a16="http://schemas.microsoft.com/office/drawing/2014/main" id="{60048EA7-906E-3049-B400-51D4DF386F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5647266" y="9237133"/>
            <a:ext cx="3136900" cy="1346200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8</xdr:col>
      <xdr:colOff>690028</xdr:colOff>
      <xdr:row>51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5E1ED8-85BB-B441-92AB-B16E0D239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933" y="1016000"/>
          <a:ext cx="7116228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25402</xdr:colOff>
      <xdr:row>8</xdr:row>
      <xdr:rowOff>141491</xdr:rowOff>
    </xdr:from>
    <xdr:to>
      <xdr:col>16</xdr:col>
      <xdr:colOff>677338</xdr:colOff>
      <xdr:row>30</xdr:row>
      <xdr:rowOff>73571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8610697" y="945729"/>
          <a:ext cx="4402480" cy="76708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122766</xdr:rowOff>
    </xdr:from>
    <xdr:to>
      <xdr:col>8</xdr:col>
      <xdr:colOff>237068</xdr:colOff>
      <xdr:row>27</xdr:row>
      <xdr:rowOff>8466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1720851" y="840315"/>
          <a:ext cx="3746500" cy="718820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431800</xdr:colOff>
      <xdr:row>4</xdr:row>
      <xdr:rowOff>33867</xdr:rowOff>
    </xdr:from>
    <xdr:to>
      <xdr:col>12</xdr:col>
      <xdr:colOff>762000</xdr:colOff>
      <xdr:row>34</xdr:row>
      <xdr:rowOff>198938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1FA1E1-B220-024D-8E70-BBA43F2ED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667" y="1456267"/>
          <a:ext cx="10058400" cy="626107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8466</xdr:colOff>
      <xdr:row>6</xdr:row>
      <xdr:rowOff>118534</xdr:rowOff>
    </xdr:from>
    <xdr:to>
      <xdr:col>9</xdr:col>
      <xdr:colOff>279399</xdr:colOff>
      <xdr:row>19</xdr:row>
      <xdr:rowOff>169334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EB6B173-BCEC-694B-9EAD-051B07A8D5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399" y="2556934"/>
          <a:ext cx="6400800" cy="2692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628650</xdr:colOff>
      <xdr:row>8</xdr:row>
      <xdr:rowOff>69850</xdr:rowOff>
    </xdr:from>
    <xdr:to>
      <xdr:col>11</xdr:col>
      <xdr:colOff>298450</xdr:colOff>
      <xdr:row>42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938F61-2365-6D41-9884-798E54DA78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200000">
          <a:off x="2311400" y="1333500"/>
          <a:ext cx="6896100" cy="84328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48795</xdr:colOff>
      <xdr:row>45</xdr:row>
      <xdr:rowOff>74270</xdr:rowOff>
    </xdr:from>
    <xdr:to>
      <xdr:col>16</xdr:col>
      <xdr:colOff>541198</xdr:colOff>
      <xdr:row>60</xdr:row>
      <xdr:rowOff>44117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62691D-04AC-1A4C-A76D-C2AEC5BA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26163" y="1908714"/>
          <a:ext cx="6329947" cy="2903472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5</xdr:col>
      <xdr:colOff>292100</xdr:colOff>
      <xdr:row>12</xdr:row>
      <xdr:rowOff>101600</xdr:rowOff>
    </xdr:from>
    <xdr:to>
      <xdr:col>15</xdr:col>
      <xdr:colOff>711200</xdr:colOff>
      <xdr:row>40</xdr:row>
      <xdr:rowOff>81472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DB8655F-FAC5-8D4A-8962-7E023DB08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06800" y="2984500"/>
          <a:ext cx="6311900" cy="5669472"/>
        </a:xfrm>
        <a:prstGeom prst="rect">
          <a:avLst/>
        </a:prstGeom>
      </xdr:spPr>
    </xdr:pic>
    <xdr:clientData/>
  </xdr:twoCellAnchor>
  <xdr:twoCellAnchor editAs="oneCell">
    <xdr:from>
      <xdr:col>7</xdr:col>
      <xdr:colOff>103978</xdr:colOff>
      <xdr:row>60</xdr:row>
      <xdr:rowOff>133684</xdr:rowOff>
    </xdr:from>
    <xdr:to>
      <xdr:col>16</xdr:col>
      <xdr:colOff>596381</xdr:colOff>
      <xdr:row>84</xdr:row>
      <xdr:rowOff>98258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83ED5CD-18DD-7344-97A6-4D5A392DA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81346" y="4901754"/>
          <a:ext cx="6329947" cy="4606387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82550</xdr:colOff>
      <xdr:row>9</xdr:row>
      <xdr:rowOff>19050</xdr:rowOff>
    </xdr:from>
    <xdr:to>
      <xdr:col>10</xdr:col>
      <xdr:colOff>819150</xdr:colOff>
      <xdr:row>40</xdr:row>
      <xdr:rowOff>69850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04894F-E3C8-7E4A-BF8A-E8B0315CA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200000">
          <a:off x="1663700" y="673100"/>
          <a:ext cx="6350000" cy="95123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mailto:LeonorGuedesdaSilva@gmail.com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B082F6-324F-2546-B279-F7E6D1FE7622}">
  <dimension ref="A1:A20"/>
  <sheetViews>
    <sheetView zoomScale="155" zoomScaleNormal="155" workbookViewId="0">
      <selection activeCell="A46" sqref="A46"/>
    </sheetView>
  </sheetViews>
  <sheetFormatPr baseColWidth="10" defaultRowHeight="16"/>
  <cols>
    <col min="1" max="1" width="144" style="14" bestFit="1" customWidth="1" collapsed="1"/>
    <col min="2" max="16384" width="10.83203125" style="14" collapsed="1"/>
  </cols>
  <sheetData>
    <row r="1" spans="1:1" ht="25">
      <c r="A1" s="103" t="s">
        <v>139</v>
      </c>
    </row>
    <row r="3" spans="1:1">
      <c r="A3" s="104" t="s">
        <v>129</v>
      </c>
    </row>
    <row r="4" spans="1:1" ht="19">
      <c r="A4" s="105" t="s">
        <v>130</v>
      </c>
    </row>
    <row r="5" spans="1:1" ht="18">
      <c r="A5" s="105"/>
    </row>
    <row r="6" spans="1:1">
      <c r="A6" s="106"/>
    </row>
    <row r="7" spans="1:1">
      <c r="A7" s="106" t="s">
        <v>131</v>
      </c>
    </row>
    <row r="8" spans="1:1">
      <c r="A8" s="107"/>
    </row>
    <row r="9" spans="1:1">
      <c r="A9" s="107" t="s">
        <v>132</v>
      </c>
    </row>
    <row r="10" spans="1:1">
      <c r="A10" s="107" t="s">
        <v>133</v>
      </c>
    </row>
    <row r="11" spans="1:1">
      <c r="A11" s="108"/>
    </row>
    <row r="12" spans="1:1">
      <c r="A12" s="108" t="s">
        <v>134</v>
      </c>
    </row>
    <row r="13" spans="1:1">
      <c r="A13" s="108"/>
    </row>
    <row r="14" spans="1:1">
      <c r="A14" s="108"/>
    </row>
    <row r="15" spans="1:1">
      <c r="A15" s="108" t="s">
        <v>135</v>
      </c>
    </row>
    <row r="16" spans="1:1">
      <c r="A16" s="108" t="s">
        <v>136</v>
      </c>
    </row>
    <row r="17" spans="1:1">
      <c r="A17" s="108" t="s">
        <v>137</v>
      </c>
    </row>
    <row r="18" spans="1:1">
      <c r="A18" s="109" t="s">
        <v>138</v>
      </c>
    </row>
    <row r="20" spans="1:1" ht="17">
      <c r="A20" s="110"/>
    </row>
  </sheetData>
  <hyperlinks>
    <hyperlink ref="A18" r:id="rId1" display="mailto:LeonorGuedesdaSilva@gmail.com" xr:uid="{A3A25B00-437A-F24E-91CD-04EC5C187875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EA63C7-211C-0140-9137-07C7505E5509}">
  <sheetPr>
    <tabColor theme="9"/>
  </sheetPr>
  <dimension ref="A1:T61"/>
  <sheetViews>
    <sheetView zoomScaleNormal="100" workbookViewId="0">
      <selection activeCell="T28" sqref="T28"/>
    </sheetView>
  </sheetViews>
  <sheetFormatPr baseColWidth="10" defaultColWidth="8.83203125" defaultRowHeight="15"/>
  <cols>
    <col min="1" max="1" width="11.6640625" style="62" bestFit="1" customWidth="1" collapsed="1"/>
    <col min="2" max="2" width="5.1640625" style="62" bestFit="1" customWidth="1" collapsed="1"/>
    <col min="3" max="3" width="10.5" style="62" bestFit="1" customWidth="1" collapsed="1"/>
    <col min="4" max="4" width="11.5" style="62" customWidth="1" collapsed="1"/>
    <col min="5" max="5" width="4.6640625" style="62" bestFit="1" customWidth="1" collapsed="1"/>
    <col min="6" max="6" width="7.33203125" style="62" customWidth="1" collapsed="1"/>
    <col min="7" max="7" width="6.33203125" style="62" bestFit="1" customWidth="1" collapsed="1"/>
    <col min="8" max="9" width="7.1640625" style="62" bestFit="1" customWidth="1" collapsed="1"/>
    <col min="10" max="10" width="9.83203125" style="62" bestFit="1" customWidth="1" collapsed="1"/>
    <col min="11" max="11" width="7.33203125" style="62" bestFit="1" customWidth="1" collapsed="1"/>
    <col min="12" max="12" width="6.83203125" style="62" bestFit="1" customWidth="1" collapsed="1"/>
    <col min="13" max="14" width="7.5" style="62" bestFit="1" customWidth="1" collapsed="1"/>
    <col min="15" max="15" width="10.33203125" style="62" bestFit="1" customWidth="1" collapsed="1"/>
    <col min="16" max="16" width="12.83203125" style="62" customWidth="1" collapsed="1"/>
    <col min="17" max="17" width="15" style="62" customWidth="1" collapsed="1"/>
    <col min="18" max="18" width="8.1640625" style="62" customWidth="1" collapsed="1"/>
    <col min="19" max="19" width="8.83203125" style="62" collapsed="1"/>
    <col min="20" max="20" width="10" style="62" customWidth="1" collapsed="1"/>
    <col min="21" max="16384" width="8.83203125" style="62" collapsed="1"/>
  </cols>
  <sheetData>
    <row r="1" spans="1:20" ht="51" customHeight="1">
      <c r="A1" s="11" t="s">
        <v>13</v>
      </c>
      <c r="B1" s="11" t="s">
        <v>14</v>
      </c>
      <c r="C1" s="11" t="s">
        <v>15</v>
      </c>
      <c r="D1" s="11" t="s">
        <v>16</v>
      </c>
      <c r="E1" s="11" t="s">
        <v>17</v>
      </c>
      <c r="F1" s="62" t="s">
        <v>103</v>
      </c>
      <c r="G1" s="11" t="s">
        <v>104</v>
      </c>
      <c r="H1" s="11" t="s">
        <v>105</v>
      </c>
      <c r="I1" s="11" t="s">
        <v>106</v>
      </c>
      <c r="J1" s="13" t="s">
        <v>107</v>
      </c>
      <c r="K1" s="68" t="s">
        <v>112</v>
      </c>
      <c r="L1" s="13" t="s">
        <v>108</v>
      </c>
      <c r="M1" s="13" t="s">
        <v>109</v>
      </c>
      <c r="N1" s="13" t="s">
        <v>110</v>
      </c>
      <c r="O1" s="13" t="s">
        <v>111</v>
      </c>
      <c r="P1" s="13" t="s">
        <v>8</v>
      </c>
      <c r="Q1" s="13" t="s">
        <v>10</v>
      </c>
      <c r="R1" s="13" t="s">
        <v>9</v>
      </c>
      <c r="S1" s="21" t="s">
        <v>11</v>
      </c>
      <c r="T1" s="21" t="s">
        <v>124</v>
      </c>
    </row>
    <row r="2" spans="1:20" ht="16">
      <c r="A2" s="62" t="s">
        <v>25</v>
      </c>
      <c r="B2" s="29" t="s">
        <v>37</v>
      </c>
      <c r="C2" s="18" t="s">
        <v>4</v>
      </c>
      <c r="D2" s="18" t="s">
        <v>12</v>
      </c>
      <c r="E2" s="18" t="s">
        <v>12</v>
      </c>
      <c r="F2" s="67">
        <v>1</v>
      </c>
      <c r="G2" s="67">
        <v>0.38</v>
      </c>
      <c r="H2" s="67">
        <v>0.05</v>
      </c>
      <c r="I2" s="67">
        <v>1.31</v>
      </c>
      <c r="J2" s="63">
        <f t="shared" ref="J2:J12" si="0">0.00001*6/2</f>
        <v>3.0000000000000004E-5</v>
      </c>
      <c r="K2" s="63">
        <f>0.05*F2</f>
        <v>0.05</v>
      </c>
      <c r="L2" s="63">
        <f>+ABS(G2)*SQRT((0.1*G2/G2)^2+($K2/$F2)^2)</f>
        <v>4.2485291572496017E-2</v>
      </c>
      <c r="M2" s="63">
        <f>+ABS(H2)*SQRT((0.1*H2/H2)^2+($K2/$F2)^2)</f>
        <v>5.590169943749476E-3</v>
      </c>
      <c r="N2" s="63">
        <f>+ABS(I2)*SQRT((0.05*I2/I2)^2+($K2/$F2)^2)</f>
        <v>9.2630988335437744E-2</v>
      </c>
      <c r="O2" s="63">
        <f>ABS(J2)*SQRT((0.1*J2/J2)^2+($K2/$F2)^2)</f>
        <v>3.3541019662496853E-6</v>
      </c>
      <c r="P2" s="16">
        <f t="shared" ref="P2:P7" si="1">-F2-G2+H2+I2+J2</f>
        <v>-1.9969999999999797E-2</v>
      </c>
      <c r="Q2" s="16">
        <f t="shared" ref="Q2:Q7" si="2">+-P2</f>
        <v>1.9969999999999797E-2</v>
      </c>
      <c r="R2" s="16">
        <f t="shared" ref="R2:R12" si="3">-4*F2-4*G2+24/5*H2+18/4*I2+30/6*J2</f>
        <v>0.61515000000000108</v>
      </c>
      <c r="S2" s="22">
        <f t="shared" ref="S2:S12" si="4">+R2/P2</f>
        <v>-30.803705558337874</v>
      </c>
      <c r="T2" s="64">
        <f t="shared" ref="T2:T12" si="5">R2/F2</f>
        <v>0.61515000000000108</v>
      </c>
    </row>
    <row r="3" spans="1:20" ht="16">
      <c r="A3" s="62" t="s">
        <v>25</v>
      </c>
      <c r="B3" s="29" t="s">
        <v>37</v>
      </c>
      <c r="C3" s="18" t="s">
        <v>2</v>
      </c>
      <c r="D3" s="18" t="s">
        <v>12</v>
      </c>
      <c r="E3" s="18" t="s">
        <v>12</v>
      </c>
      <c r="F3" s="67">
        <v>1</v>
      </c>
      <c r="G3" s="67">
        <v>0.35</v>
      </c>
      <c r="H3" s="67">
        <v>0.06</v>
      </c>
      <c r="I3" s="67">
        <v>1.3</v>
      </c>
      <c r="J3" s="63">
        <f t="shared" si="0"/>
        <v>3.0000000000000004E-5</v>
      </c>
      <c r="K3" s="63">
        <f t="shared" ref="K3:K11" si="6">0.05*F3</f>
        <v>0.05</v>
      </c>
      <c r="L3" s="63">
        <f t="shared" ref="L3:L11" si="7">+ABS(G3)*SQRT((0.1*G3/G3)^2+($K3/$F3)^2)</f>
        <v>3.9131189606246314E-2</v>
      </c>
      <c r="M3" s="63">
        <f t="shared" ref="M3:M11" si="8">+ABS(H3)*SQRT((0.1*H3/H3)^2+($K3/$F3)^2)</f>
        <v>6.7082039324993696E-3</v>
      </c>
      <c r="N3" s="63">
        <f t="shared" ref="N3:N11" si="9">+ABS(I3)*SQRT((0.05*I3/I3)^2+($K3/$F3)^2)</f>
        <v>9.1923881554251199E-2</v>
      </c>
      <c r="O3" s="63">
        <f t="shared" ref="O3:O11" si="10">ABS(J3)*SQRT((0.1*J3/J3)^2+($K3/$F3)^2)</f>
        <v>3.3541019662496853E-6</v>
      </c>
      <c r="P3" s="16">
        <f t="shared" si="1"/>
        <v>1.0030000000000009E-2</v>
      </c>
      <c r="Q3" s="16">
        <f t="shared" si="2"/>
        <v>-1.0030000000000009E-2</v>
      </c>
      <c r="R3" s="16">
        <f t="shared" si="3"/>
        <v>0.73815000000000042</v>
      </c>
      <c r="S3" s="22">
        <f t="shared" si="4"/>
        <v>73.594217347956103</v>
      </c>
      <c r="T3" s="64">
        <f t="shared" si="5"/>
        <v>0.73815000000000042</v>
      </c>
    </row>
    <row r="4" spans="1:20" ht="16">
      <c r="A4" s="62" t="s">
        <v>25</v>
      </c>
      <c r="B4" s="29" t="s">
        <v>37</v>
      </c>
      <c r="C4" s="18" t="s">
        <v>4</v>
      </c>
      <c r="D4" s="18" t="s">
        <v>12</v>
      </c>
      <c r="E4" s="18" t="s">
        <v>12</v>
      </c>
      <c r="F4" s="67">
        <v>1</v>
      </c>
      <c r="G4" s="67">
        <v>0.51</v>
      </c>
      <c r="H4" s="67">
        <v>0.09</v>
      </c>
      <c r="I4" s="67">
        <v>1.37</v>
      </c>
      <c r="J4" s="63">
        <f t="shared" si="0"/>
        <v>3.0000000000000004E-5</v>
      </c>
      <c r="K4" s="63">
        <f t="shared" si="6"/>
        <v>0.05</v>
      </c>
      <c r="L4" s="63">
        <f t="shared" si="7"/>
        <v>5.7019733426244647E-2</v>
      </c>
      <c r="M4" s="63">
        <f t="shared" si="8"/>
        <v>1.0062305898749053E-2</v>
      </c>
      <c r="N4" s="63">
        <f t="shared" si="9"/>
        <v>9.6873629022557042E-2</v>
      </c>
      <c r="O4" s="63">
        <f t="shared" si="10"/>
        <v>3.3541019662496853E-6</v>
      </c>
      <c r="P4" s="16">
        <f t="shared" si="1"/>
        <v>-4.996999999999982E-2</v>
      </c>
      <c r="Q4" s="16">
        <f t="shared" si="2"/>
        <v>4.996999999999982E-2</v>
      </c>
      <c r="R4" s="16">
        <f t="shared" si="3"/>
        <v>0.55715000000000126</v>
      </c>
      <c r="S4" s="22">
        <f t="shared" si="4"/>
        <v>-11.149689813888399</v>
      </c>
      <c r="T4" s="64">
        <f t="shared" si="5"/>
        <v>0.55715000000000126</v>
      </c>
    </row>
    <row r="5" spans="1:20" ht="16">
      <c r="A5" s="62" t="s">
        <v>25</v>
      </c>
      <c r="B5" s="29" t="s">
        <v>37</v>
      </c>
      <c r="C5" s="18" t="s">
        <v>4</v>
      </c>
      <c r="D5" s="18" t="s">
        <v>12</v>
      </c>
      <c r="E5" s="18" t="s">
        <v>12</v>
      </c>
      <c r="F5" s="67">
        <v>1</v>
      </c>
      <c r="G5" s="67">
        <v>0.66</v>
      </c>
      <c r="H5" s="67">
        <v>0.08</v>
      </c>
      <c r="I5" s="67">
        <v>1.53</v>
      </c>
      <c r="J5" s="63">
        <f t="shared" si="0"/>
        <v>3.0000000000000004E-5</v>
      </c>
      <c r="K5" s="63">
        <f t="shared" si="6"/>
        <v>0.05</v>
      </c>
      <c r="L5" s="63">
        <f t="shared" si="7"/>
        <v>7.3790243257493074E-2</v>
      </c>
      <c r="M5" s="63">
        <f t="shared" si="8"/>
        <v>8.9442719099991595E-3</v>
      </c>
      <c r="N5" s="63">
        <f t="shared" si="9"/>
        <v>0.10818733752154179</v>
      </c>
      <c r="O5" s="63">
        <f t="shared" si="10"/>
        <v>3.3541019662496853E-6</v>
      </c>
      <c r="P5" s="16">
        <f t="shared" si="1"/>
        <v>-4.9970000000000042E-2</v>
      </c>
      <c r="Q5" s="16">
        <f t="shared" si="2"/>
        <v>4.9970000000000042E-2</v>
      </c>
      <c r="R5" s="16">
        <f t="shared" si="3"/>
        <v>0.62914999999999954</v>
      </c>
      <c r="S5" s="22">
        <f t="shared" si="4"/>
        <v>-12.59055433259954</v>
      </c>
      <c r="T5" s="64">
        <f t="shared" si="5"/>
        <v>0.62914999999999954</v>
      </c>
    </row>
    <row r="6" spans="1:20" ht="16">
      <c r="A6" s="62" t="s">
        <v>25</v>
      </c>
      <c r="B6" s="29" t="s">
        <v>37</v>
      </c>
      <c r="C6" s="18" t="s">
        <v>4</v>
      </c>
      <c r="D6" s="18" t="s">
        <v>12</v>
      </c>
      <c r="E6" s="18" t="s">
        <v>12</v>
      </c>
      <c r="F6" s="67">
        <v>1</v>
      </c>
      <c r="G6" s="67">
        <v>1.08</v>
      </c>
      <c r="H6" s="67">
        <v>0.28000000000000003</v>
      </c>
      <c r="I6" s="67">
        <v>1.74</v>
      </c>
      <c r="J6" s="63">
        <f t="shared" si="0"/>
        <v>3.0000000000000004E-5</v>
      </c>
      <c r="K6" s="63">
        <f t="shared" si="6"/>
        <v>0.05</v>
      </c>
      <c r="L6" s="63">
        <f t="shared" si="7"/>
        <v>0.12074767078498866</v>
      </c>
      <c r="M6" s="63">
        <f t="shared" si="8"/>
        <v>3.1304951684997064E-2</v>
      </c>
      <c r="N6" s="63">
        <f t="shared" si="9"/>
        <v>0.12303657992645929</v>
      </c>
      <c r="O6" s="63">
        <f t="shared" si="10"/>
        <v>3.3541019662496853E-6</v>
      </c>
      <c r="P6" s="16">
        <f t="shared" si="1"/>
        <v>-5.9970000000000051E-2</v>
      </c>
      <c r="Q6" s="16">
        <f t="shared" si="2"/>
        <v>5.9970000000000051E-2</v>
      </c>
      <c r="R6" s="16">
        <f t="shared" si="3"/>
        <v>0.85415000000000008</v>
      </c>
      <c r="S6" s="22">
        <f t="shared" si="4"/>
        <v>-14.242954810738691</v>
      </c>
      <c r="T6" s="64">
        <f t="shared" si="5"/>
        <v>0.85415000000000008</v>
      </c>
    </row>
    <row r="7" spans="1:20" ht="16">
      <c r="A7" s="62" t="s">
        <v>25</v>
      </c>
      <c r="B7" s="29" t="s">
        <v>37</v>
      </c>
      <c r="C7" s="18" t="s">
        <v>2</v>
      </c>
      <c r="D7" s="18" t="s">
        <v>12</v>
      </c>
      <c r="E7" s="18" t="s">
        <v>12</v>
      </c>
      <c r="F7" s="67">
        <v>1</v>
      </c>
      <c r="G7" s="67">
        <v>0.35</v>
      </c>
      <c r="H7" s="67">
        <v>0.1</v>
      </c>
      <c r="I7" s="67">
        <v>1.2</v>
      </c>
      <c r="J7" s="63">
        <f t="shared" si="0"/>
        <v>3.0000000000000004E-5</v>
      </c>
      <c r="K7" s="63">
        <f t="shared" si="6"/>
        <v>0.05</v>
      </c>
      <c r="L7" s="63">
        <f t="shared" si="7"/>
        <v>3.9131189606246314E-2</v>
      </c>
      <c r="M7" s="63">
        <f t="shared" si="8"/>
        <v>1.1180339887498952E-2</v>
      </c>
      <c r="N7" s="63">
        <f t="shared" si="9"/>
        <v>8.4852813742385721E-2</v>
      </c>
      <c r="O7" s="63">
        <f t="shared" si="10"/>
        <v>3.3541019662496853E-6</v>
      </c>
      <c r="P7" s="16">
        <f t="shared" si="1"/>
        <v>-4.9970000000000042E-2</v>
      </c>
      <c r="Q7" s="16">
        <f t="shared" si="2"/>
        <v>4.9970000000000042E-2</v>
      </c>
      <c r="R7" s="16">
        <f t="shared" si="3"/>
        <v>0.48014999999999952</v>
      </c>
      <c r="S7" s="22">
        <f t="shared" si="4"/>
        <v>-9.6087652591554757</v>
      </c>
      <c r="T7" s="64">
        <f t="shared" si="5"/>
        <v>0.48014999999999952</v>
      </c>
    </row>
    <row r="8" spans="1:20" ht="16">
      <c r="A8" s="62" t="s">
        <v>114</v>
      </c>
      <c r="B8" s="29" t="s">
        <v>56</v>
      </c>
      <c r="C8" s="18" t="s">
        <v>4</v>
      </c>
      <c r="D8" s="18" t="s">
        <v>12</v>
      </c>
      <c r="E8" s="18" t="s">
        <v>12</v>
      </c>
      <c r="F8" s="67">
        <v>1</v>
      </c>
      <c r="G8" s="67">
        <v>0.45</v>
      </c>
      <c r="H8" s="67">
        <v>0.27</v>
      </c>
      <c r="I8" s="67">
        <v>1.4</v>
      </c>
      <c r="J8" s="63">
        <f t="shared" si="0"/>
        <v>3.0000000000000004E-5</v>
      </c>
      <c r="K8" s="63">
        <f t="shared" si="6"/>
        <v>0.05</v>
      </c>
      <c r="L8" s="63">
        <f t="shared" si="7"/>
        <v>5.0311529493745274E-2</v>
      </c>
      <c r="M8" s="63">
        <f t="shared" si="8"/>
        <v>3.0186917696247165E-2</v>
      </c>
      <c r="N8" s="63">
        <f t="shared" si="9"/>
        <v>9.899494936611665E-2</v>
      </c>
      <c r="O8" s="63">
        <f t="shared" si="10"/>
        <v>3.3541019662496853E-6</v>
      </c>
      <c r="P8" s="16">
        <f t="shared" ref="P8:P10" si="11">-F8-G8+H8+I8+J8</f>
        <v>0.22002999999999998</v>
      </c>
      <c r="Q8" s="16">
        <f t="shared" ref="Q8:Q10" si="12">+-P8</f>
        <v>-0.22002999999999998</v>
      </c>
      <c r="R8" s="16">
        <f t="shared" si="3"/>
        <v>1.7961500000000004</v>
      </c>
      <c r="S8" s="22">
        <f t="shared" si="4"/>
        <v>8.1632050174976172</v>
      </c>
      <c r="T8" s="64">
        <f t="shared" si="5"/>
        <v>1.7961500000000004</v>
      </c>
    </row>
    <row r="9" spans="1:20" ht="16">
      <c r="A9" s="62" t="s">
        <v>114</v>
      </c>
      <c r="B9" s="29" t="s">
        <v>56</v>
      </c>
      <c r="C9" s="18" t="s">
        <v>1</v>
      </c>
      <c r="D9" s="18" t="s">
        <v>12</v>
      </c>
      <c r="E9" s="18" t="s">
        <v>12</v>
      </c>
      <c r="F9" s="67">
        <v>1</v>
      </c>
      <c r="G9" s="67">
        <v>1.21</v>
      </c>
      <c r="H9" s="67">
        <v>0.49</v>
      </c>
      <c r="I9" s="67">
        <v>1.5</v>
      </c>
      <c r="J9" s="63">
        <f t="shared" si="0"/>
        <v>3.0000000000000004E-5</v>
      </c>
      <c r="K9" s="63">
        <f t="shared" ref="K9" si="13">0.05*F9</f>
        <v>0.05</v>
      </c>
      <c r="L9" s="63">
        <f t="shared" ref="L9" si="14">+ABS(G9)*SQRT((0.1*G9/G9)^2+($K9/$F9)^2)</f>
        <v>0.1352821126387373</v>
      </c>
      <c r="M9" s="63">
        <f t="shared" ref="M9" si="15">+ABS(H9)*SQRT((0.1*H9/H9)^2+($K9/$F9)^2)</f>
        <v>5.4783665448744849E-2</v>
      </c>
      <c r="N9" s="63">
        <f t="shared" ref="N9" si="16">+ABS(I9)*SQRT((0.05*I9/I9)^2+($K9/$F9)^2)</f>
        <v>0.10606601717798214</v>
      </c>
      <c r="O9" s="63">
        <f t="shared" si="10"/>
        <v>3.3541019662496853E-6</v>
      </c>
      <c r="P9" s="16">
        <f t="shared" ref="P9" si="17">-F9-G9+H9+I9+J9</f>
        <v>-0.21996999999999997</v>
      </c>
      <c r="Q9" s="16">
        <f t="shared" ref="Q9" si="18">+-P9</f>
        <v>0.21996999999999997</v>
      </c>
      <c r="R9" s="16">
        <f t="shared" si="3"/>
        <v>0.26215000000000044</v>
      </c>
      <c r="S9" s="22">
        <f t="shared" si="4"/>
        <v>-1.1917534209210368</v>
      </c>
      <c r="T9" s="64">
        <f t="shared" si="5"/>
        <v>0.26215000000000044</v>
      </c>
    </row>
    <row r="10" spans="1:20" ht="16">
      <c r="A10" s="62" t="s">
        <v>115</v>
      </c>
      <c r="B10" s="29" t="s">
        <v>117</v>
      </c>
      <c r="C10" s="18" t="s">
        <v>4</v>
      </c>
      <c r="D10" s="18" t="s">
        <v>12</v>
      </c>
      <c r="E10" s="18" t="s">
        <v>12</v>
      </c>
      <c r="F10" s="67">
        <v>1</v>
      </c>
      <c r="G10" s="67">
        <v>0.46</v>
      </c>
      <c r="H10" s="67">
        <v>7.0000000000000007E-2</v>
      </c>
      <c r="I10" s="67">
        <v>1.18</v>
      </c>
      <c r="J10" s="63">
        <f t="shared" si="0"/>
        <v>3.0000000000000004E-5</v>
      </c>
      <c r="K10" s="63">
        <f t="shared" si="6"/>
        <v>0.05</v>
      </c>
      <c r="L10" s="63">
        <f t="shared" si="7"/>
        <v>5.1429563482495173E-2</v>
      </c>
      <c r="M10" s="63">
        <f t="shared" si="8"/>
        <v>7.8262379212492659E-3</v>
      </c>
      <c r="N10" s="63">
        <f t="shared" si="9"/>
        <v>8.3438600180012618E-2</v>
      </c>
      <c r="O10" s="63">
        <v>1</v>
      </c>
      <c r="P10" s="16">
        <f t="shared" si="11"/>
        <v>-0.20996999999999996</v>
      </c>
      <c r="Q10" s="16">
        <f t="shared" si="12"/>
        <v>0.20996999999999996</v>
      </c>
      <c r="R10" s="16">
        <f t="shared" si="3"/>
        <v>-0.19384999999999994</v>
      </c>
      <c r="S10" s="22">
        <f t="shared" si="4"/>
        <v>0.92322712768490722</v>
      </c>
      <c r="T10" s="64">
        <f t="shared" si="5"/>
        <v>-0.19384999999999994</v>
      </c>
    </row>
    <row r="11" spans="1:20" ht="16">
      <c r="A11" s="62" t="s">
        <v>116</v>
      </c>
      <c r="B11" s="29" t="s">
        <v>34</v>
      </c>
      <c r="C11" s="18" t="s">
        <v>4</v>
      </c>
      <c r="D11" s="18" t="s">
        <v>12</v>
      </c>
      <c r="E11" s="18" t="s">
        <v>12</v>
      </c>
      <c r="F11" s="67">
        <v>1</v>
      </c>
      <c r="G11" s="67">
        <v>0.6</v>
      </c>
      <c r="H11" s="67">
        <v>0.26</v>
      </c>
      <c r="I11" s="67">
        <v>1.31</v>
      </c>
      <c r="J11" s="63">
        <f t="shared" si="0"/>
        <v>3.0000000000000004E-5</v>
      </c>
      <c r="K11" s="63">
        <f t="shared" si="6"/>
        <v>0.05</v>
      </c>
      <c r="L11" s="63">
        <f t="shared" si="7"/>
        <v>6.7082039324993695E-2</v>
      </c>
      <c r="M11" s="63">
        <f t="shared" si="8"/>
        <v>2.9068883707497269E-2</v>
      </c>
      <c r="N11" s="63">
        <f t="shared" si="9"/>
        <v>9.2630988335437744E-2</v>
      </c>
      <c r="O11" s="63">
        <f t="shared" si="10"/>
        <v>3.3541019662496853E-6</v>
      </c>
      <c r="P11" s="16">
        <f t="shared" ref="P11" si="19">-F11-G11+H11+I11+J11</f>
        <v>-2.9970000000000028E-2</v>
      </c>
      <c r="Q11" s="16">
        <f t="shared" ref="Q11" si="20">+-P11</f>
        <v>2.9970000000000028E-2</v>
      </c>
      <c r="R11" s="16">
        <f t="shared" si="3"/>
        <v>0.74315000000000031</v>
      </c>
      <c r="S11" s="22">
        <f t="shared" si="4"/>
        <v>-24.79646312979645</v>
      </c>
      <c r="T11" s="64">
        <f t="shared" si="5"/>
        <v>0.74315000000000031</v>
      </c>
    </row>
    <row r="12" spans="1:20" ht="16">
      <c r="A12" s="62" t="s">
        <v>116</v>
      </c>
      <c r="B12" s="29" t="s">
        <v>34</v>
      </c>
      <c r="C12" s="18" t="s">
        <v>1</v>
      </c>
      <c r="D12" s="18" t="s">
        <v>12</v>
      </c>
      <c r="E12" s="18" t="s">
        <v>12</v>
      </c>
      <c r="F12" s="67">
        <v>1</v>
      </c>
      <c r="G12" s="67">
        <v>1.17</v>
      </c>
      <c r="H12" s="67">
        <v>0.54</v>
      </c>
      <c r="I12" s="67">
        <v>1.3</v>
      </c>
      <c r="J12" s="63">
        <f t="shared" si="0"/>
        <v>3.0000000000000004E-5</v>
      </c>
      <c r="K12" s="63">
        <f t="shared" ref="K12" si="21">0.05*F12</f>
        <v>0.05</v>
      </c>
      <c r="L12" s="63">
        <f t="shared" ref="L12" si="22">+ABS(G12)*SQRT((0.1*G12/G12)^2+($K12/$F12)^2)</f>
        <v>0.1308099766837377</v>
      </c>
      <c r="M12" s="63">
        <f t="shared" ref="M12" si="23">+ABS(H12)*SQRT((0.1*H12/H12)^2+($K12/$F12)^2)</f>
        <v>6.0373835392494329E-2</v>
      </c>
      <c r="N12" s="63">
        <f t="shared" ref="N12" si="24">+ABS(I12)*SQRT((0.05*I12/I12)^2+($K12/$F12)^2)</f>
        <v>9.1923881554251199E-2</v>
      </c>
      <c r="O12" s="63">
        <f t="shared" ref="O12:O44" si="25">+IF(J12=0.00001*6/2,1,ABS(J12)*SQRT((0.1*J12/J12)^2+($K12/$F12)^2))</f>
        <v>1</v>
      </c>
      <c r="P12" s="16">
        <f t="shared" ref="P12" si="26">-F12-G12+H12+I12+J12</f>
        <v>-0.32996999999999987</v>
      </c>
      <c r="Q12" s="16">
        <f t="shared" ref="Q12" si="27">+-P12</f>
        <v>0.32996999999999987</v>
      </c>
      <c r="R12" s="16">
        <f t="shared" si="3"/>
        <v>-0.23784999999999865</v>
      </c>
      <c r="S12" s="22">
        <f t="shared" si="4"/>
        <v>0.72082310513076564</v>
      </c>
      <c r="T12" s="64">
        <f t="shared" si="5"/>
        <v>-0.23784999999999865</v>
      </c>
    </row>
    <row r="13" spans="1:20" s="95" customFormat="1" ht="16">
      <c r="B13" s="96"/>
      <c r="C13" s="97"/>
      <c r="D13" s="97"/>
      <c r="E13" s="97"/>
      <c r="F13" s="98"/>
      <c r="G13" s="98"/>
      <c r="H13" s="98"/>
      <c r="I13" s="98"/>
      <c r="J13" s="99"/>
      <c r="K13" s="99"/>
      <c r="L13" s="99"/>
      <c r="M13" s="99"/>
      <c r="N13" s="99"/>
      <c r="O13" s="99"/>
      <c r="P13" s="100"/>
      <c r="Q13" s="100"/>
      <c r="R13" s="100"/>
      <c r="S13" s="101"/>
      <c r="T13" s="102"/>
    </row>
    <row r="14" spans="1:20" s="95" customFormat="1" ht="16">
      <c r="B14" s="96"/>
      <c r="C14" s="97"/>
      <c r="D14" s="97"/>
      <c r="E14" s="97"/>
      <c r="F14" s="98"/>
      <c r="G14" s="98"/>
      <c r="H14" s="98"/>
      <c r="I14" s="98"/>
      <c r="J14" s="99"/>
      <c r="K14" s="99"/>
      <c r="L14" s="99"/>
      <c r="M14" s="99"/>
      <c r="N14" s="99"/>
      <c r="O14" s="99"/>
      <c r="P14" s="100"/>
      <c r="Q14" s="100"/>
      <c r="R14" s="100"/>
      <c r="S14" s="101"/>
      <c r="T14" s="102"/>
    </row>
    <row r="15" spans="1:20" s="95" customFormat="1" ht="16">
      <c r="B15" s="96"/>
      <c r="C15" s="97"/>
      <c r="D15" s="97"/>
      <c r="E15" s="97"/>
      <c r="F15" s="98"/>
      <c r="G15" s="98"/>
      <c r="H15" s="98"/>
      <c r="I15" s="98"/>
      <c r="J15" s="99"/>
      <c r="K15" s="99"/>
      <c r="L15" s="99"/>
      <c r="M15" s="99"/>
      <c r="N15" s="99"/>
      <c r="O15" s="99"/>
      <c r="P15" s="100"/>
      <c r="Q15" s="100"/>
      <c r="R15" s="100"/>
      <c r="S15" s="101"/>
      <c r="T15" s="102"/>
    </row>
    <row r="16" spans="1:20" s="95" customFormat="1" ht="16">
      <c r="B16" s="96"/>
      <c r="C16" s="97"/>
      <c r="D16" s="97"/>
      <c r="E16" s="97"/>
      <c r="F16" s="98"/>
      <c r="G16" s="98"/>
      <c r="H16" s="98"/>
      <c r="I16" s="98"/>
      <c r="J16" s="99"/>
      <c r="K16" s="99"/>
      <c r="L16" s="99"/>
      <c r="M16" s="99"/>
      <c r="N16" s="99"/>
      <c r="O16" s="99"/>
      <c r="P16" s="100"/>
      <c r="Q16" s="100"/>
      <c r="R16" s="100"/>
      <c r="S16" s="101"/>
      <c r="T16" s="102"/>
    </row>
    <row r="17" spans="2:20" s="95" customFormat="1" ht="16">
      <c r="B17" s="96"/>
      <c r="C17" s="97"/>
      <c r="D17" s="97"/>
      <c r="E17" s="97"/>
      <c r="F17" s="98"/>
      <c r="G17" s="98"/>
      <c r="H17" s="98"/>
      <c r="I17" s="98"/>
      <c r="J17" s="99"/>
      <c r="K17" s="99"/>
      <c r="L17" s="99"/>
      <c r="M17" s="99"/>
      <c r="N17" s="99"/>
      <c r="O17" s="99"/>
      <c r="P17" s="100"/>
      <c r="Q17" s="100"/>
      <c r="R17" s="100"/>
      <c r="S17" s="101"/>
      <c r="T17" s="102"/>
    </row>
    <row r="18" spans="2:20" s="95" customFormat="1" ht="16">
      <c r="B18" s="96"/>
      <c r="C18" s="97"/>
      <c r="D18" s="97"/>
      <c r="E18" s="97"/>
      <c r="F18" s="98"/>
      <c r="G18" s="98"/>
      <c r="H18" s="98"/>
      <c r="I18" s="98"/>
      <c r="J18" s="99"/>
      <c r="K18" s="99"/>
      <c r="L18" s="99"/>
      <c r="M18" s="99"/>
      <c r="N18" s="99"/>
      <c r="O18" s="99"/>
      <c r="P18" s="100"/>
      <c r="Q18" s="100"/>
      <c r="R18" s="100"/>
      <c r="S18" s="101"/>
      <c r="T18" s="102"/>
    </row>
    <row r="19" spans="2:20" s="95" customFormat="1" ht="16">
      <c r="B19" s="96"/>
      <c r="C19" s="97"/>
      <c r="D19" s="97"/>
      <c r="E19" s="97"/>
      <c r="F19" s="98"/>
      <c r="G19" s="98"/>
      <c r="H19" s="98"/>
      <c r="I19" s="98"/>
      <c r="J19" s="99"/>
      <c r="K19" s="99"/>
      <c r="L19" s="99"/>
      <c r="M19" s="99"/>
      <c r="N19" s="99"/>
      <c r="O19" s="99"/>
      <c r="P19" s="100"/>
      <c r="Q19" s="100"/>
      <c r="R19" s="100"/>
      <c r="S19" s="101"/>
      <c r="T19" s="102"/>
    </row>
    <row r="20" spans="2:20" s="95" customFormat="1" ht="16">
      <c r="B20" s="96"/>
      <c r="C20" s="97"/>
      <c r="D20" s="97"/>
      <c r="E20" s="97"/>
      <c r="F20" s="98"/>
      <c r="G20" s="98"/>
      <c r="H20" s="98"/>
      <c r="I20" s="98"/>
      <c r="J20" s="99"/>
      <c r="K20" s="99"/>
      <c r="L20" s="99"/>
      <c r="M20" s="99"/>
      <c r="N20" s="99"/>
      <c r="O20" s="99"/>
      <c r="P20" s="100"/>
      <c r="Q20" s="100"/>
      <c r="R20" s="100"/>
      <c r="S20" s="101"/>
      <c r="T20" s="102"/>
    </row>
    <row r="21" spans="2:20" s="95" customFormat="1" ht="16">
      <c r="B21" s="96"/>
      <c r="C21" s="97"/>
      <c r="D21" s="97"/>
      <c r="E21" s="97"/>
      <c r="F21" s="98"/>
      <c r="G21" s="98"/>
      <c r="H21" s="98"/>
      <c r="I21" s="98"/>
      <c r="J21" s="99"/>
      <c r="K21" s="99"/>
      <c r="L21" s="99"/>
      <c r="M21" s="99"/>
      <c r="N21" s="99"/>
      <c r="O21" s="99"/>
      <c r="P21" s="100"/>
      <c r="Q21" s="100"/>
      <c r="R21" s="100"/>
      <c r="S21" s="101"/>
      <c r="T21" s="102"/>
    </row>
    <row r="22" spans="2:20" s="95" customFormat="1" ht="16">
      <c r="B22" s="96"/>
      <c r="C22" s="97"/>
      <c r="D22" s="97"/>
      <c r="E22" s="97"/>
      <c r="F22" s="98"/>
      <c r="G22" s="98"/>
      <c r="H22" s="98"/>
      <c r="I22" s="98"/>
      <c r="J22" s="99"/>
      <c r="K22" s="99"/>
      <c r="L22" s="99"/>
      <c r="M22" s="99"/>
      <c r="N22" s="99"/>
      <c r="O22" s="99"/>
      <c r="P22" s="100"/>
      <c r="Q22" s="100"/>
      <c r="R22" s="100"/>
      <c r="S22" s="101"/>
      <c r="T22" s="102"/>
    </row>
    <row r="23" spans="2:20" s="95" customFormat="1" ht="16">
      <c r="B23" s="96"/>
      <c r="C23" s="97"/>
      <c r="D23" s="97"/>
      <c r="E23" s="97"/>
      <c r="F23" s="98"/>
      <c r="G23" s="98"/>
      <c r="H23" s="98"/>
      <c r="I23" s="98"/>
      <c r="J23" s="99"/>
      <c r="K23" s="99"/>
      <c r="L23" s="99"/>
      <c r="M23" s="99"/>
      <c r="N23" s="99"/>
      <c r="O23" s="99"/>
      <c r="P23" s="100"/>
      <c r="Q23" s="100"/>
      <c r="R23" s="100"/>
      <c r="S23" s="101"/>
      <c r="T23" s="102"/>
    </row>
    <row r="24" spans="2:20" s="95" customFormat="1" ht="16">
      <c r="B24" s="96"/>
      <c r="C24" s="97"/>
      <c r="D24" s="97"/>
      <c r="E24" s="97"/>
      <c r="F24" s="98"/>
      <c r="G24" s="98"/>
      <c r="H24" s="98"/>
      <c r="I24" s="98"/>
      <c r="J24" s="99"/>
      <c r="K24" s="99"/>
      <c r="L24" s="99"/>
      <c r="M24" s="99"/>
      <c r="N24" s="99"/>
      <c r="O24" s="99"/>
      <c r="P24" s="100"/>
      <c r="Q24" s="100"/>
      <c r="R24" s="100"/>
      <c r="S24" s="101"/>
      <c r="T24" s="102"/>
    </row>
    <row r="25" spans="2:20" s="95" customFormat="1" ht="16">
      <c r="B25" s="96"/>
      <c r="C25" s="97"/>
      <c r="D25" s="97"/>
      <c r="E25" s="97"/>
      <c r="F25" s="98"/>
      <c r="G25" s="98"/>
      <c r="H25" s="98"/>
      <c r="I25" s="98"/>
      <c r="J25" s="99"/>
      <c r="K25" s="99"/>
      <c r="L25" s="99"/>
      <c r="M25" s="99"/>
      <c r="N25" s="99"/>
      <c r="O25" s="99"/>
      <c r="P25" s="100"/>
      <c r="Q25" s="100"/>
      <c r="R25" s="100"/>
      <c r="S25" s="101"/>
      <c r="T25" s="102"/>
    </row>
    <row r="26" spans="2:20" s="95" customFormat="1" ht="16">
      <c r="B26" s="96"/>
      <c r="C26" s="97"/>
      <c r="D26" s="97"/>
      <c r="E26" s="97"/>
      <c r="F26" s="98"/>
      <c r="G26" s="98"/>
      <c r="H26" s="98"/>
      <c r="I26" s="98"/>
      <c r="J26" s="99"/>
      <c r="K26" s="99"/>
      <c r="L26" s="99"/>
      <c r="M26" s="99"/>
      <c r="N26" s="99"/>
      <c r="O26" s="99"/>
      <c r="P26" s="100"/>
      <c r="Q26" s="100"/>
      <c r="R26" s="100"/>
      <c r="S26" s="101"/>
      <c r="T26" s="102"/>
    </row>
    <row r="27" spans="2:20" s="95" customFormat="1" ht="16">
      <c r="B27" s="96"/>
      <c r="C27" s="97"/>
      <c r="D27" s="97"/>
      <c r="E27" s="97"/>
      <c r="F27" s="98"/>
      <c r="G27" s="98"/>
      <c r="H27" s="98"/>
      <c r="I27" s="98"/>
      <c r="J27" s="99"/>
      <c r="K27" s="99"/>
      <c r="L27" s="99"/>
      <c r="M27" s="99"/>
      <c r="N27" s="99"/>
      <c r="O27" s="99"/>
      <c r="P27" s="100"/>
      <c r="Q27" s="100"/>
      <c r="R27" s="100"/>
      <c r="S27" s="101"/>
      <c r="T27" s="102"/>
    </row>
    <row r="28" spans="2:20" s="95" customFormat="1" ht="16">
      <c r="B28" s="96"/>
      <c r="C28" s="97"/>
      <c r="D28" s="97"/>
      <c r="E28" s="97"/>
      <c r="F28" s="98"/>
      <c r="G28" s="98"/>
      <c r="H28" s="98"/>
      <c r="I28" s="98"/>
      <c r="J28" s="99"/>
      <c r="K28" s="99"/>
      <c r="L28" s="99"/>
      <c r="M28" s="99"/>
      <c r="N28" s="99"/>
      <c r="O28" s="99"/>
      <c r="P28" s="100"/>
      <c r="Q28" s="100"/>
      <c r="R28" s="100"/>
      <c r="S28" s="101"/>
      <c r="T28" s="102"/>
    </row>
    <row r="29" spans="2:20" s="95" customFormat="1" ht="16">
      <c r="B29" s="96"/>
      <c r="C29" s="97"/>
      <c r="D29" s="97"/>
      <c r="E29" s="97"/>
      <c r="F29" s="98"/>
      <c r="G29" s="98"/>
      <c r="H29" s="98"/>
      <c r="I29" s="98"/>
      <c r="J29" s="99"/>
      <c r="K29" s="99"/>
      <c r="L29" s="99"/>
      <c r="M29" s="99"/>
      <c r="N29" s="99"/>
      <c r="O29" s="99"/>
      <c r="P29" s="100"/>
      <c r="Q29" s="100"/>
      <c r="R29" s="100"/>
      <c r="S29" s="101"/>
      <c r="T29" s="102"/>
    </row>
    <row r="30" spans="2:20" s="95" customFormat="1" ht="16">
      <c r="B30" s="96"/>
      <c r="C30" s="97"/>
      <c r="D30" s="97"/>
      <c r="E30" s="97"/>
      <c r="F30" s="98"/>
      <c r="G30" s="98"/>
      <c r="H30" s="98"/>
      <c r="I30" s="98"/>
      <c r="J30" s="99"/>
      <c r="K30" s="99"/>
      <c r="L30" s="99"/>
      <c r="M30" s="99"/>
      <c r="N30" s="99"/>
      <c r="O30" s="99"/>
      <c r="P30" s="100"/>
      <c r="Q30" s="100"/>
      <c r="R30" s="100"/>
      <c r="S30" s="101"/>
      <c r="T30" s="102"/>
    </row>
    <row r="31" spans="2:20" s="95" customFormat="1" ht="16">
      <c r="B31" s="96"/>
      <c r="C31" s="97"/>
      <c r="D31" s="97"/>
      <c r="E31" s="97"/>
      <c r="F31" s="98"/>
      <c r="G31" s="98"/>
      <c r="H31" s="98"/>
      <c r="I31" s="98"/>
      <c r="J31" s="99"/>
      <c r="K31" s="99"/>
      <c r="L31" s="99"/>
      <c r="M31" s="99"/>
      <c r="N31" s="99"/>
      <c r="O31" s="99"/>
      <c r="P31" s="100"/>
      <c r="Q31" s="100"/>
      <c r="R31" s="100"/>
      <c r="S31" s="101"/>
      <c r="T31" s="102"/>
    </row>
    <row r="32" spans="2:20" s="95" customFormat="1" ht="16">
      <c r="B32" s="96"/>
      <c r="C32" s="97"/>
      <c r="D32" s="97"/>
      <c r="E32" s="97"/>
      <c r="F32" s="98"/>
      <c r="G32" s="98"/>
      <c r="H32" s="98"/>
      <c r="I32" s="98"/>
      <c r="J32" s="99"/>
      <c r="K32" s="99"/>
      <c r="L32" s="99"/>
      <c r="M32" s="99"/>
      <c r="N32" s="99"/>
      <c r="O32" s="99"/>
      <c r="P32" s="100"/>
      <c r="Q32" s="100"/>
      <c r="R32" s="100"/>
      <c r="S32" s="101"/>
      <c r="T32" s="102"/>
    </row>
    <row r="33" spans="1:20" s="95" customFormat="1" ht="16">
      <c r="B33" s="96"/>
      <c r="C33" s="97"/>
      <c r="D33" s="97"/>
      <c r="E33" s="97"/>
      <c r="F33" s="98"/>
      <c r="G33" s="98"/>
      <c r="H33" s="98"/>
      <c r="I33" s="98"/>
      <c r="J33" s="99"/>
      <c r="K33" s="99"/>
      <c r="L33" s="99"/>
      <c r="M33" s="99"/>
      <c r="N33" s="99"/>
      <c r="O33" s="99"/>
      <c r="P33" s="100"/>
      <c r="Q33" s="100"/>
      <c r="R33" s="100"/>
      <c r="S33" s="101"/>
      <c r="T33" s="102"/>
    </row>
    <row r="34" spans="1:20" s="95" customFormat="1" ht="16">
      <c r="B34" s="96"/>
      <c r="C34" s="97"/>
      <c r="D34" s="97"/>
      <c r="E34" s="97"/>
      <c r="F34" s="98"/>
      <c r="G34" s="98"/>
      <c r="H34" s="98"/>
      <c r="I34" s="98"/>
      <c r="J34" s="99"/>
      <c r="K34" s="99"/>
      <c r="L34" s="99"/>
      <c r="M34" s="99"/>
      <c r="N34" s="99"/>
      <c r="O34" s="99"/>
      <c r="P34" s="100"/>
      <c r="Q34" s="100"/>
      <c r="R34" s="100"/>
      <c r="S34" s="101"/>
      <c r="T34" s="102"/>
    </row>
    <row r="35" spans="1:20" s="95" customFormat="1" ht="16">
      <c r="B35" s="96"/>
      <c r="C35" s="97"/>
      <c r="D35" s="97"/>
      <c r="E35" s="97"/>
      <c r="F35" s="98"/>
      <c r="G35" s="98"/>
      <c r="H35" s="98"/>
      <c r="I35" s="98"/>
      <c r="J35" s="99"/>
      <c r="K35" s="99"/>
      <c r="L35" s="99"/>
      <c r="M35" s="99"/>
      <c r="N35" s="99"/>
      <c r="O35" s="99"/>
      <c r="P35" s="100"/>
      <c r="Q35" s="100"/>
      <c r="R35" s="100"/>
      <c r="S35" s="101"/>
      <c r="T35" s="102"/>
    </row>
    <row r="36" spans="1:20" s="95" customFormat="1" ht="16">
      <c r="B36" s="96"/>
      <c r="C36" s="97"/>
      <c r="D36" s="97"/>
      <c r="E36" s="97"/>
      <c r="F36" s="98"/>
      <c r="G36" s="98"/>
      <c r="H36" s="98"/>
      <c r="I36" s="98"/>
      <c r="J36" s="99"/>
      <c r="K36" s="99"/>
      <c r="L36" s="99"/>
      <c r="M36" s="99"/>
      <c r="N36" s="99"/>
      <c r="O36" s="99"/>
      <c r="P36" s="100"/>
      <c r="Q36" s="100"/>
      <c r="R36" s="100"/>
      <c r="S36" s="101"/>
      <c r="T36" s="102"/>
    </row>
    <row r="37" spans="1:20" s="95" customFormat="1" ht="16">
      <c r="B37" s="96"/>
      <c r="C37" s="97"/>
      <c r="D37" s="97"/>
      <c r="E37" s="97"/>
      <c r="F37" s="98"/>
      <c r="G37" s="98"/>
      <c r="H37" s="98"/>
      <c r="I37" s="98"/>
      <c r="J37" s="99"/>
      <c r="K37" s="99"/>
      <c r="L37" s="99"/>
      <c r="M37" s="99"/>
      <c r="N37" s="99"/>
      <c r="O37" s="99"/>
      <c r="P37" s="100"/>
      <c r="Q37" s="100"/>
      <c r="R37" s="100"/>
      <c r="S37" s="101"/>
      <c r="T37" s="102"/>
    </row>
    <row r="38" spans="1:20" s="95" customFormat="1" ht="16">
      <c r="B38" s="96"/>
      <c r="C38" s="97"/>
      <c r="D38" s="97"/>
      <c r="E38" s="97"/>
      <c r="F38" s="98"/>
      <c r="G38" s="98"/>
      <c r="H38" s="98"/>
      <c r="I38" s="98"/>
      <c r="J38" s="99"/>
      <c r="K38" s="99"/>
      <c r="L38" s="99"/>
      <c r="M38" s="99"/>
      <c r="N38" s="99"/>
      <c r="O38" s="99"/>
      <c r="P38" s="100"/>
      <c r="Q38" s="100"/>
      <c r="R38" s="100"/>
      <c r="S38" s="101"/>
      <c r="T38" s="102"/>
    </row>
    <row r="39" spans="1:20" s="95" customFormat="1" ht="16">
      <c r="B39" s="96"/>
      <c r="C39" s="97"/>
      <c r="D39" s="97"/>
      <c r="E39" s="97"/>
      <c r="F39" s="98"/>
      <c r="G39" s="98"/>
      <c r="H39" s="98"/>
      <c r="I39" s="98"/>
      <c r="J39" s="99"/>
      <c r="K39" s="99"/>
      <c r="L39" s="99"/>
      <c r="M39" s="99"/>
      <c r="N39" s="99"/>
      <c r="O39" s="99"/>
      <c r="P39" s="100"/>
      <c r="Q39" s="100"/>
      <c r="R39" s="100"/>
      <c r="S39" s="101"/>
      <c r="T39" s="102"/>
    </row>
    <row r="40" spans="1:20" s="95" customFormat="1" ht="16">
      <c r="B40" s="96"/>
      <c r="C40" s="97"/>
      <c r="D40" s="97"/>
      <c r="E40" s="97"/>
      <c r="F40" s="98"/>
      <c r="G40" s="98"/>
      <c r="H40" s="98"/>
      <c r="I40" s="98"/>
      <c r="J40" s="99"/>
      <c r="K40" s="99"/>
      <c r="L40" s="99"/>
      <c r="M40" s="99"/>
      <c r="N40" s="99"/>
      <c r="O40" s="99"/>
      <c r="P40" s="100"/>
      <c r="Q40" s="100"/>
      <c r="R40" s="100"/>
      <c r="S40" s="101"/>
      <c r="T40" s="102"/>
    </row>
    <row r="42" spans="1:20" ht="16">
      <c r="A42" s="18" t="s">
        <v>113</v>
      </c>
      <c r="B42" s="29" t="s">
        <v>37</v>
      </c>
      <c r="C42" s="18" t="s">
        <v>2</v>
      </c>
      <c r="D42" s="18" t="s">
        <v>12</v>
      </c>
      <c r="E42" s="18" t="s">
        <v>12</v>
      </c>
      <c r="F42" s="67">
        <f>(B47-B48)</f>
        <v>3.0982658959537579</v>
      </c>
      <c r="G42" s="67">
        <f>+(C47-C48)</f>
        <v>0.77456647398843881</v>
      </c>
      <c r="H42" s="67">
        <f>-(E47-E48)</f>
        <v>6.9364161849710892E-2</v>
      </c>
      <c r="I42" s="67">
        <f>-(D47-D48)</f>
        <v>3.0635838150289008</v>
      </c>
      <c r="J42" s="63">
        <f>0.00001*6/2</f>
        <v>3.0000000000000004E-5</v>
      </c>
      <c r="K42" s="63">
        <f>0.05*F42</f>
        <v>0.15491329479768789</v>
      </c>
      <c r="L42" s="63">
        <f>0.1*G42</f>
        <v>7.7456647398843892E-2</v>
      </c>
      <c r="M42" s="63">
        <f>0.1*H42</f>
        <v>6.9364161849710896E-3</v>
      </c>
      <c r="N42" s="63">
        <f>0.05*I42</f>
        <v>0.15317919075144504</v>
      </c>
      <c r="O42" s="63">
        <f t="shared" si="25"/>
        <v>1</v>
      </c>
      <c r="P42" s="16">
        <f>-F42-G42+H42+I42+J42</f>
        <v>-0.73985439306358525</v>
      </c>
      <c r="Q42" s="16">
        <f>+-P42</f>
        <v>0.73985439306358525</v>
      </c>
      <c r="R42" s="16">
        <f>-4*F42-4*G42+24/5*H42+18/4*I42+30/6*J42</f>
        <v>-1.3721043352601217</v>
      </c>
      <c r="S42" s="22">
        <f>+R42/P42</f>
        <v>1.8545599622359734</v>
      </c>
      <c r="T42" s="64">
        <f>R42/F42</f>
        <v>-0.44286203358209142</v>
      </c>
    </row>
    <row r="43" spans="1:20" ht="16">
      <c r="A43" s="18" t="s">
        <v>113</v>
      </c>
      <c r="B43" s="29" t="s">
        <v>37</v>
      </c>
      <c r="C43" s="18" t="s">
        <v>2</v>
      </c>
      <c r="D43" s="18" t="s">
        <v>12</v>
      </c>
      <c r="E43" s="18" t="s">
        <v>12</v>
      </c>
      <c r="F43" s="67">
        <f>(B48-B49)</f>
        <v>0.34582080924855463</v>
      </c>
      <c r="G43" s="67">
        <f>+(C48-C49)</f>
        <v>0.16184971098265999</v>
      </c>
      <c r="H43" s="67">
        <f>-(E48-E49)</f>
        <v>0.12716763005780302</v>
      </c>
      <c r="I43" s="67">
        <f>-(D48-D49)</f>
        <v>1.2601156069364166</v>
      </c>
      <c r="J43" s="63">
        <f>0.00001*6/2</f>
        <v>3.0000000000000004E-5</v>
      </c>
      <c r="K43" s="63">
        <f t="shared" ref="K43:K44" si="28">0.05*F43</f>
        <v>1.7291040462427732E-2</v>
      </c>
      <c r="L43" s="63">
        <f t="shared" ref="L43:L44" si="29">0.1*G43</f>
        <v>1.6184971098265999E-2</v>
      </c>
      <c r="M43" s="63">
        <f t="shared" ref="M43:M44" si="30">0.1*H43</f>
        <v>1.2716763005780302E-2</v>
      </c>
      <c r="N43" s="63">
        <f t="shared" ref="N43:N44" si="31">0.05*I43</f>
        <v>6.3005780346820833E-2</v>
      </c>
      <c r="O43" s="63">
        <f t="shared" si="25"/>
        <v>1</v>
      </c>
      <c r="P43" s="16">
        <f>-F43-G43+H43+I43+J43</f>
        <v>0.87964271676300498</v>
      </c>
      <c r="Q43" s="16">
        <f t="shared" ref="Q43:Q44" si="32">+-P43</f>
        <v>-0.87964271676300498</v>
      </c>
      <c r="R43" s="16">
        <f>-4*F43-4*G43+24/5*H43+18/4*I43+30/6*J43</f>
        <v>4.2503927745664702</v>
      </c>
      <c r="S43" s="22">
        <f>+R43/P43</f>
        <v>4.8319535802075189</v>
      </c>
      <c r="T43" s="64">
        <f>R43/F43</f>
        <v>12.290737459675396</v>
      </c>
    </row>
    <row r="44" spans="1:20" ht="16">
      <c r="A44" s="18" t="s">
        <v>113</v>
      </c>
      <c r="B44" s="29" t="s">
        <v>37</v>
      </c>
      <c r="C44" s="18" t="s">
        <v>2</v>
      </c>
      <c r="D44" s="18" t="s">
        <v>12</v>
      </c>
      <c r="E44" s="18" t="s">
        <v>12</v>
      </c>
      <c r="F44" s="67">
        <f>(B49-B50)</f>
        <v>1E-3</v>
      </c>
      <c r="G44" s="67">
        <f>+(C49-C50)</f>
        <v>0.28901734104046284</v>
      </c>
      <c r="H44" s="67">
        <f>-(E49-E50)</f>
        <v>1.156069364161888E-2</v>
      </c>
      <c r="I44" s="67">
        <f>-(D49-D50)</f>
        <v>0.15028901734104139</v>
      </c>
      <c r="J44" s="63">
        <f>0.00001*6/2</f>
        <v>3.0000000000000004E-5</v>
      </c>
      <c r="K44" s="63">
        <f t="shared" si="28"/>
        <v>5.0000000000000002E-5</v>
      </c>
      <c r="L44" s="63">
        <f t="shared" si="29"/>
        <v>2.8901734104046284E-2</v>
      </c>
      <c r="M44" s="63">
        <f t="shared" si="30"/>
        <v>1.1560693641618879E-3</v>
      </c>
      <c r="N44" s="63">
        <f t="shared" si="31"/>
        <v>7.5144508670520697E-3</v>
      </c>
      <c r="O44" s="63">
        <f t="shared" si="25"/>
        <v>1</v>
      </c>
      <c r="P44" s="16">
        <f>-F44-G44+H44+I44+J44</f>
        <v>-0.12813763005780257</v>
      </c>
      <c r="Q44" s="16">
        <f t="shared" si="32"/>
        <v>0.12813763005780257</v>
      </c>
      <c r="R44" s="16">
        <f>-4*F44-4*G44+24/5*H44+18/4*I44+30/6*J44</f>
        <v>-0.4281274566473946</v>
      </c>
      <c r="S44" s="22">
        <f>+R44/P44</f>
        <v>3.3411532307431262</v>
      </c>
      <c r="T44" s="64">
        <f>R44/F44</f>
        <v>-428.12745664739458</v>
      </c>
    </row>
    <row r="45" spans="1:20" ht="16">
      <c r="A45" s="112" t="s">
        <v>61</v>
      </c>
      <c r="B45" s="112"/>
      <c r="C45" s="112"/>
      <c r="D45" s="112"/>
      <c r="E45" s="112"/>
      <c r="F45" s="66" t="s">
        <v>52</v>
      </c>
    </row>
    <row r="46" spans="1:20">
      <c r="A46" s="62" t="s">
        <v>60</v>
      </c>
      <c r="B46" s="62" t="s">
        <v>48</v>
      </c>
      <c r="C46" s="62" t="s">
        <v>49</v>
      </c>
      <c r="D46" s="62" t="s">
        <v>50</v>
      </c>
      <c r="E46" s="62" t="s">
        <v>51</v>
      </c>
    </row>
    <row r="47" spans="1:20">
      <c r="A47" s="64">
        <v>0.27</v>
      </c>
      <c r="B47" s="64">
        <v>3.4450867052023124</v>
      </c>
      <c r="C47" s="64">
        <v>2.947976878612717</v>
      </c>
      <c r="D47" s="64">
        <v>0.95953757225433534</v>
      </c>
      <c r="E47" s="64">
        <v>0.21965317919075167</v>
      </c>
    </row>
    <row r="48" spans="1:20">
      <c r="A48" s="64">
        <v>14.89</v>
      </c>
      <c r="B48" s="64">
        <v>0.34682080924855463</v>
      </c>
      <c r="C48" s="64">
        <v>2.1734104046242781</v>
      </c>
      <c r="D48" s="64">
        <v>4.0231213872832363</v>
      </c>
      <c r="E48" s="64">
        <v>0.28901734104046256</v>
      </c>
    </row>
    <row r="49" spans="1:6">
      <c r="A49" s="64">
        <v>29.04</v>
      </c>
      <c r="B49" s="64">
        <v>1E-3</v>
      </c>
      <c r="C49" s="64">
        <v>2.0115606936416182</v>
      </c>
      <c r="D49" s="64">
        <v>5.2832369942196529</v>
      </c>
      <c r="E49" s="64">
        <v>0.41618497109826558</v>
      </c>
    </row>
    <row r="50" spans="1:6">
      <c r="A50" s="64">
        <v>90.57</v>
      </c>
      <c r="B50" s="64">
        <v>0</v>
      </c>
      <c r="C50" s="64">
        <v>1.7225433526011553</v>
      </c>
      <c r="D50" s="64">
        <v>5.4335260115606943</v>
      </c>
      <c r="E50" s="64">
        <v>0.42774566473988446</v>
      </c>
    </row>
    <row r="55" spans="1:6">
      <c r="A55" s="112" t="s">
        <v>62</v>
      </c>
      <c r="B55" s="112"/>
      <c r="C55" s="112"/>
      <c r="D55" s="112"/>
      <c r="E55" s="112"/>
      <c r="F55" s="62" t="s">
        <v>52</v>
      </c>
    </row>
    <row r="56" spans="1:6" ht="16">
      <c r="A56" t="s">
        <v>60</v>
      </c>
      <c r="B56" t="s">
        <v>48</v>
      </c>
      <c r="C56" t="s">
        <v>49</v>
      </c>
      <c r="D56" t="s">
        <v>50</v>
      </c>
      <c r="E56" t="s">
        <v>51</v>
      </c>
    </row>
    <row r="57" spans="1:6" ht="16">
      <c r="A57">
        <v>0</v>
      </c>
      <c r="B57" s="10">
        <v>3.4463667820069204</v>
      </c>
      <c r="C57" s="10">
        <v>3.6923076923076907</v>
      </c>
      <c r="D57" s="10">
        <v>8.1230769230769226</v>
      </c>
      <c r="E57" s="10">
        <v>0.73846153846153595</v>
      </c>
    </row>
    <row r="58" spans="1:6" ht="16">
      <c r="A58">
        <v>0.03</v>
      </c>
      <c r="B58" s="10">
        <v>3.1141868512110729</v>
      </c>
      <c r="C58" s="10">
        <v>2.5230769230769181</v>
      </c>
      <c r="D58" s="10">
        <v>11.13846153846154</v>
      </c>
      <c r="E58" s="10">
        <v>1.1076923076923026</v>
      </c>
    </row>
    <row r="59" spans="1:6" ht="16">
      <c r="A59">
        <v>0.16</v>
      </c>
      <c r="B59" s="10">
        <v>2.7543252595155709</v>
      </c>
      <c r="C59" s="10">
        <v>2.1538461538461515</v>
      </c>
      <c r="D59" s="10">
        <v>11.93846153846154</v>
      </c>
      <c r="E59" s="10">
        <v>1.1076923076923026</v>
      </c>
    </row>
    <row r="60" spans="1:6" ht="16">
      <c r="A60">
        <v>0.24</v>
      </c>
      <c r="B60" s="10">
        <v>2.6574394463667819</v>
      </c>
      <c r="C60" s="10">
        <v>0.79999999999999805</v>
      </c>
      <c r="D60" s="10">
        <v>12.861538461538464</v>
      </c>
      <c r="E60" s="10">
        <v>1.4153846153846126</v>
      </c>
    </row>
    <row r="61" spans="1:6" ht="16">
      <c r="A61"/>
      <c r="B61"/>
      <c r="C61"/>
      <c r="D61"/>
      <c r="E61"/>
    </row>
  </sheetData>
  <mergeCells count="2">
    <mergeCell ref="A45:E45"/>
    <mergeCell ref="A55:E55"/>
  </mergeCells>
  <pageMargins left="0.7" right="0.7" top="0.75" bottom="0.75" header="0.3" footer="0.3"/>
  <pageSetup paperSize="9" orientation="portrait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55327A-71F8-214A-AA50-8DB461FF836F}">
  <sheetPr>
    <tabColor theme="9"/>
  </sheetPr>
  <dimension ref="A1:X9"/>
  <sheetViews>
    <sheetView workbookViewId="0">
      <selection activeCell="O2" sqref="O2"/>
    </sheetView>
  </sheetViews>
  <sheetFormatPr baseColWidth="10" defaultRowHeight="16"/>
  <cols>
    <col min="4" max="4" width="12.1640625" customWidth="1" collapsed="1"/>
    <col min="7" max="9" width="11.6640625" customWidth="1" collapsed="1"/>
    <col min="10" max="10" width="13.83203125" customWidth="1" collapsed="1"/>
    <col min="11" max="11" width="12.6640625" customWidth="1" collapsed="1"/>
    <col min="12" max="12" width="15.6640625" customWidth="1" collapsed="1"/>
    <col min="13" max="14" width="12.5" customWidth="1" collapsed="1"/>
    <col min="15" max="15" width="14.5" customWidth="1" collapsed="1"/>
    <col min="17" max="17" width="13" customWidth="1" collapsed="1"/>
  </cols>
  <sheetData>
    <row r="1" spans="1:24" ht="51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24">
      <c r="A2" s="15" t="s">
        <v>73</v>
      </c>
      <c r="B2" s="26" t="s">
        <v>74</v>
      </c>
      <c r="C2" s="15" t="s">
        <v>4</v>
      </c>
      <c r="D2" s="14">
        <v>20</v>
      </c>
      <c r="E2" s="14" t="s">
        <v>75</v>
      </c>
      <c r="F2" s="63">
        <v>1</v>
      </c>
      <c r="G2" s="61">
        <v>0.28999999999999998</v>
      </c>
      <c r="H2" s="61">
        <f>0.17+0.01</f>
        <v>0.18000000000000002</v>
      </c>
      <c r="I2" s="16">
        <v>1.2</v>
      </c>
      <c r="J2">
        <v>0.01</v>
      </c>
      <c r="K2" s="63">
        <f>0.05*F2</f>
        <v>0.05</v>
      </c>
      <c r="L2" s="16">
        <v>0.05</v>
      </c>
      <c r="M2" s="16">
        <f>+SQRT(0.0001^2+0.02^2)</f>
        <v>2.0000249998437521E-2</v>
      </c>
      <c r="N2" s="14">
        <v>0.14000000000000001</v>
      </c>
      <c r="O2" s="14">
        <v>0.02</v>
      </c>
      <c r="P2" s="16">
        <f>-1-G2+H2+I2+J2</f>
        <v>9.9999999999999853E-2</v>
      </c>
      <c r="Q2" s="16">
        <f>+-P2</f>
        <v>-9.9999999999999853E-2</v>
      </c>
      <c r="R2" s="16">
        <f>-4-4*G2+24/5*H2+18/4*I2+30/6*J2</f>
        <v>1.1539999999999992</v>
      </c>
      <c r="S2" s="22">
        <f>+R2/P2</f>
        <v>11.54000000000001</v>
      </c>
    </row>
    <row r="3" spans="1:24">
      <c r="A3" s="15"/>
      <c r="B3" s="26"/>
      <c r="C3" s="15"/>
      <c r="D3" s="14"/>
      <c r="E3" s="14"/>
      <c r="F3" s="63"/>
      <c r="G3" s="61"/>
      <c r="H3" s="61"/>
      <c r="I3" s="61"/>
      <c r="J3" s="16"/>
      <c r="K3" s="16"/>
      <c r="L3" s="16"/>
      <c r="M3" s="22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</row>
    <row r="4" spans="1:24">
      <c r="A4" s="15"/>
      <c r="B4" s="26"/>
      <c r="C4" s="15"/>
      <c r="D4" s="14"/>
      <c r="E4" s="14"/>
      <c r="F4" s="63"/>
      <c r="G4" s="61"/>
      <c r="H4" s="61"/>
      <c r="I4" s="61"/>
      <c r="J4" s="16"/>
      <c r="K4" s="16"/>
      <c r="L4" s="16"/>
      <c r="M4" s="22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</row>
    <row r="5" spans="1:24">
      <c r="A5" s="15"/>
      <c r="B5" s="26"/>
      <c r="C5" s="15"/>
      <c r="D5" s="14"/>
      <c r="E5" s="14"/>
      <c r="F5" s="63"/>
      <c r="G5" s="61"/>
      <c r="H5" s="61"/>
      <c r="I5" s="61"/>
      <c r="J5" s="16"/>
      <c r="K5" s="16"/>
      <c r="L5" s="16"/>
      <c r="M5" s="22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</row>
    <row r="6" spans="1:24">
      <c r="A6" s="15"/>
      <c r="B6" s="26"/>
      <c r="C6" s="15"/>
      <c r="D6" s="14"/>
      <c r="E6" s="14"/>
      <c r="F6" s="63"/>
      <c r="G6" s="61"/>
      <c r="H6" s="61"/>
      <c r="I6" s="61"/>
      <c r="J6" s="16"/>
      <c r="K6" s="16"/>
      <c r="L6" s="16"/>
      <c r="M6" s="22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</row>
    <row r="7" spans="1:24">
      <c r="A7" s="15"/>
      <c r="B7" s="26"/>
      <c r="C7" s="15"/>
      <c r="D7" s="14"/>
      <c r="E7" s="14"/>
      <c r="F7" s="63"/>
      <c r="G7" s="61"/>
      <c r="H7" s="61"/>
      <c r="I7" s="61"/>
      <c r="J7" s="16"/>
      <c r="K7" s="16"/>
      <c r="L7" s="16"/>
      <c r="M7" s="22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</row>
    <row r="8" spans="1:24">
      <c r="A8" s="15"/>
      <c r="B8" s="26"/>
      <c r="C8" s="15"/>
      <c r="D8" s="14"/>
      <c r="E8" s="14"/>
      <c r="F8" s="63"/>
      <c r="G8" s="61"/>
      <c r="H8" s="61"/>
      <c r="I8" s="61"/>
      <c r="J8" s="16"/>
      <c r="K8" s="16"/>
      <c r="L8" s="16"/>
      <c r="M8" s="22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</row>
    <row r="9" spans="1:24"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1">
    <tabColor theme="9"/>
  </sheetPr>
  <dimension ref="A1:S21"/>
  <sheetViews>
    <sheetView workbookViewId="0">
      <selection activeCell="C6" sqref="C6"/>
    </sheetView>
  </sheetViews>
  <sheetFormatPr baseColWidth="10" defaultRowHeight="16"/>
  <cols>
    <col min="1" max="1" width="15.6640625" bestFit="1" customWidth="1" collapsed="1"/>
    <col min="2" max="2" width="13.1640625" customWidth="1" collapsed="1"/>
    <col min="3" max="3" width="21.6640625" bestFit="1" customWidth="1" collapsed="1"/>
    <col min="4" max="4" width="13.1640625" customWidth="1" collapsed="1"/>
    <col min="5" max="5" width="6.33203125" bestFit="1" customWidth="1" collapsed="1"/>
    <col min="6" max="9" width="11.5" bestFit="1" customWidth="1" collapsed="1"/>
    <col min="10" max="14" width="11.5" customWidth="1" collapsed="1"/>
    <col min="15" max="15" width="14.1640625" customWidth="1" collapsed="1"/>
    <col min="16" max="16" width="5.6640625" bestFit="1" customWidth="1" collapsed="1"/>
    <col min="17" max="17" width="21.5" bestFit="1" customWidth="1" collapsed="1"/>
    <col min="18" max="18" width="6.6640625" bestFit="1" customWidth="1" collapsed="1"/>
    <col min="19" max="19" width="6.1640625" bestFit="1" customWidth="1" collapsed="1"/>
  </cols>
  <sheetData>
    <row r="1" spans="1:19" s="11" customFormat="1" ht="51">
      <c r="A1" s="11" t="s">
        <v>13</v>
      </c>
      <c r="B1" s="11" t="s">
        <v>14</v>
      </c>
      <c r="C1" s="11" t="s">
        <v>15</v>
      </c>
      <c r="D1" s="11" t="s">
        <v>16</v>
      </c>
      <c r="E1" s="11" t="s">
        <v>17</v>
      </c>
      <c r="F1" s="68" t="s">
        <v>89</v>
      </c>
      <c r="G1" s="11" t="s">
        <v>0</v>
      </c>
      <c r="H1" s="11" t="s">
        <v>7</v>
      </c>
      <c r="I1" s="11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1" t="s">
        <v>8</v>
      </c>
      <c r="Q1" s="11" t="s">
        <v>10</v>
      </c>
      <c r="R1" s="11" t="s">
        <v>9</v>
      </c>
      <c r="S1" s="11" t="s">
        <v>11</v>
      </c>
    </row>
    <row r="2" spans="1:19" s="11" customFormat="1">
      <c r="A2" s="17" t="s">
        <v>20</v>
      </c>
      <c r="B2" s="27" t="s">
        <v>35</v>
      </c>
      <c r="C2" s="17" t="s">
        <v>5</v>
      </c>
      <c r="D2" s="17">
        <v>20</v>
      </c>
      <c r="E2" s="17">
        <v>7</v>
      </c>
      <c r="F2" s="70">
        <v>1</v>
      </c>
      <c r="G2" s="1">
        <v>0.96</v>
      </c>
      <c r="H2" s="43">
        <v>0.23</v>
      </c>
      <c r="I2" s="45">
        <v>1.24</v>
      </c>
      <c r="J2" s="63">
        <f t="shared" ref="J2:J7" si="0">0.00001*6/2</f>
        <v>3.0000000000000004E-5</v>
      </c>
      <c r="K2" s="63">
        <f t="shared" ref="K2:K7" si="1">0.05*F2</f>
        <v>0.05</v>
      </c>
      <c r="L2" s="63">
        <f t="shared" ref="L2:M7" si="2">+ABS(G2)*SQRT((0.1*G2/G2)^2+($K2/$F2)^2)</f>
        <v>0.10733126291998991</v>
      </c>
      <c r="M2" s="63">
        <f t="shared" si="2"/>
        <v>2.5714781741247587E-2</v>
      </c>
      <c r="N2" s="63">
        <f t="shared" ref="N2:N7" si="3">+ABS(I2)*SQRT((0.05*I2/I2)^2+($K2/$F2)^2)</f>
        <v>8.7681240867131915E-2</v>
      </c>
      <c r="O2" s="63">
        <v>1</v>
      </c>
      <c r="P2" s="23">
        <f t="shared" ref="P2:P7" si="4">-1-G2+H2+I2+J2</f>
        <v>-0.48997000000000002</v>
      </c>
      <c r="Q2" s="23">
        <f t="shared" ref="Q2:Q7" si="5">+-P2</f>
        <v>0.48997000000000002</v>
      </c>
      <c r="R2" s="32">
        <f t="shared" ref="R2:R7" si="6">-4-4*G2+24/5*H2+18/4*I2+30/6*J2</f>
        <v>-1.1558499999999996</v>
      </c>
      <c r="S2" s="23">
        <f t="shared" ref="S2:S7" si="7">+R2/P2</f>
        <v>2.3590219809376074</v>
      </c>
    </row>
    <row r="3" spans="1:19" s="11" customFormat="1">
      <c r="A3" s="17" t="s">
        <v>20</v>
      </c>
      <c r="B3" s="27" t="s">
        <v>35</v>
      </c>
      <c r="C3" s="17" t="s">
        <v>5</v>
      </c>
      <c r="D3" s="17">
        <v>20</v>
      </c>
      <c r="E3" s="17">
        <v>7</v>
      </c>
      <c r="F3" s="70">
        <v>1</v>
      </c>
      <c r="G3" s="1">
        <v>0.98</v>
      </c>
      <c r="H3" s="43">
        <v>0.32</v>
      </c>
      <c r="I3" s="45">
        <v>1.19</v>
      </c>
      <c r="J3" s="63">
        <f t="shared" si="0"/>
        <v>3.0000000000000004E-5</v>
      </c>
      <c r="K3" s="63">
        <f t="shared" si="1"/>
        <v>0.05</v>
      </c>
      <c r="L3" s="63">
        <f t="shared" si="2"/>
        <v>0.1095673308974897</v>
      </c>
      <c r="M3" s="63">
        <f t="shared" si="2"/>
        <v>3.5777087639996638E-2</v>
      </c>
      <c r="N3" s="63">
        <f t="shared" si="3"/>
        <v>8.4145706961199163E-2</v>
      </c>
      <c r="O3" s="63">
        <v>1</v>
      </c>
      <c r="P3" s="23">
        <f t="shared" si="4"/>
        <v>-0.46997</v>
      </c>
      <c r="Q3" s="23">
        <f t="shared" si="5"/>
        <v>0.46997</v>
      </c>
      <c r="R3" s="32">
        <f t="shared" si="6"/>
        <v>-1.0288500000000007</v>
      </c>
      <c r="S3" s="23">
        <f t="shared" si="7"/>
        <v>2.1891822882311653</v>
      </c>
    </row>
    <row r="4" spans="1:19" s="11" customFormat="1">
      <c r="A4" s="17" t="s">
        <v>20</v>
      </c>
      <c r="B4" s="27" t="s">
        <v>35</v>
      </c>
      <c r="C4" s="17" t="s">
        <v>126</v>
      </c>
      <c r="D4" s="17">
        <v>10</v>
      </c>
      <c r="E4" s="17">
        <v>7</v>
      </c>
      <c r="F4" s="70">
        <v>1</v>
      </c>
      <c r="G4" s="1">
        <v>1.1100000000000001</v>
      </c>
      <c r="H4" s="43">
        <v>0.28999999999999998</v>
      </c>
      <c r="I4" s="45">
        <v>1.36</v>
      </c>
      <c r="J4" s="63">
        <f t="shared" si="0"/>
        <v>3.0000000000000004E-5</v>
      </c>
      <c r="K4" s="63">
        <f t="shared" si="1"/>
        <v>0.05</v>
      </c>
      <c r="L4" s="63">
        <f t="shared" si="2"/>
        <v>0.12410177275123835</v>
      </c>
      <c r="M4" s="63">
        <f t="shared" si="2"/>
        <v>3.2422985673746949E-2</v>
      </c>
      <c r="N4" s="63">
        <f t="shared" si="3"/>
        <v>9.6166522241370483E-2</v>
      </c>
      <c r="O4" s="63">
        <v>1</v>
      </c>
      <c r="P4" s="23">
        <f t="shared" si="4"/>
        <v>-0.45997000000000021</v>
      </c>
      <c r="Q4" s="23">
        <f t="shared" si="5"/>
        <v>0.45997000000000021</v>
      </c>
      <c r="R4" s="32">
        <f t="shared" si="6"/>
        <v>-0.92785000000000173</v>
      </c>
      <c r="S4" s="23">
        <f t="shared" si="7"/>
        <v>2.0171967737026355</v>
      </c>
    </row>
    <row r="5" spans="1:19" s="11" customFormat="1">
      <c r="A5" s="17" t="s">
        <v>20</v>
      </c>
      <c r="B5" s="27" t="s">
        <v>35</v>
      </c>
      <c r="C5" s="17" t="s">
        <v>126</v>
      </c>
      <c r="D5" s="17">
        <v>20</v>
      </c>
      <c r="E5" s="17">
        <v>7</v>
      </c>
      <c r="F5" s="70">
        <v>1</v>
      </c>
      <c r="G5" s="1">
        <v>1.06</v>
      </c>
      <c r="H5" s="43">
        <v>0.43</v>
      </c>
      <c r="I5" s="45">
        <v>1.34</v>
      </c>
      <c r="J5" s="63">
        <f t="shared" si="0"/>
        <v>3.0000000000000004E-5</v>
      </c>
      <c r="K5" s="63">
        <f t="shared" si="1"/>
        <v>0.05</v>
      </c>
      <c r="L5" s="63">
        <f t="shared" si="2"/>
        <v>0.11851160280748887</v>
      </c>
      <c r="M5" s="63">
        <f t="shared" si="2"/>
        <v>4.8075461516245484E-2</v>
      </c>
      <c r="N5" s="63">
        <f t="shared" si="3"/>
        <v>9.4752308678997393E-2</v>
      </c>
      <c r="O5" s="63">
        <v>1</v>
      </c>
      <c r="P5" s="23">
        <f t="shared" si="4"/>
        <v>-0.28997000000000006</v>
      </c>
      <c r="Q5" s="23">
        <f t="shared" si="5"/>
        <v>0.28997000000000006</v>
      </c>
      <c r="R5" s="32">
        <f t="shared" si="6"/>
        <v>-0.1458499999999999</v>
      </c>
      <c r="S5" s="23">
        <f t="shared" si="7"/>
        <v>0.50298306721384922</v>
      </c>
    </row>
    <row r="6" spans="1:19" s="11" customFormat="1">
      <c r="A6" s="17" t="s">
        <v>94</v>
      </c>
      <c r="B6" s="27" t="s">
        <v>35</v>
      </c>
      <c r="C6" s="17" t="s">
        <v>30</v>
      </c>
      <c r="D6" s="17">
        <v>20</v>
      </c>
      <c r="E6" s="17">
        <v>7</v>
      </c>
      <c r="F6" s="70">
        <v>1</v>
      </c>
      <c r="G6" s="1">
        <v>0.28999999999999998</v>
      </c>
      <c r="H6" s="43">
        <v>0.09</v>
      </c>
      <c r="I6" s="45">
        <v>1.27</v>
      </c>
      <c r="J6" s="63">
        <f t="shared" si="0"/>
        <v>3.0000000000000004E-5</v>
      </c>
      <c r="K6" s="63">
        <f t="shared" si="1"/>
        <v>0.05</v>
      </c>
      <c r="L6" s="63">
        <f t="shared" si="2"/>
        <v>3.2422985673746949E-2</v>
      </c>
      <c r="M6" s="63">
        <f t="shared" si="2"/>
        <v>1.0062305898749053E-2</v>
      </c>
      <c r="N6" s="63">
        <f t="shared" si="3"/>
        <v>8.9802561210691551E-2</v>
      </c>
      <c r="O6" s="63">
        <f>ABS(J6)*SQRT((0.1*J6/J6)^2+($K6/$F6)^2)</f>
        <v>3.3541019662496853E-6</v>
      </c>
      <c r="P6" s="23">
        <f t="shared" si="4"/>
        <v>7.0030000000000064E-2</v>
      </c>
      <c r="Q6" s="23">
        <f t="shared" si="5"/>
        <v>-7.0030000000000064E-2</v>
      </c>
      <c r="R6" s="32">
        <f t="shared" si="6"/>
        <v>0.98715000000000008</v>
      </c>
      <c r="S6" s="23">
        <f t="shared" si="7"/>
        <v>14.096101670712541</v>
      </c>
    </row>
    <row r="7" spans="1:19" s="11" customFormat="1">
      <c r="A7" s="17" t="s">
        <v>95</v>
      </c>
      <c r="B7" s="27" t="s">
        <v>35</v>
      </c>
      <c r="C7" s="17" t="s">
        <v>31</v>
      </c>
      <c r="D7" s="17">
        <v>20</v>
      </c>
      <c r="E7" s="17">
        <v>7</v>
      </c>
      <c r="F7" s="70">
        <v>1</v>
      </c>
      <c r="G7" s="1">
        <v>1.28</v>
      </c>
      <c r="H7" s="43">
        <v>0.37</v>
      </c>
      <c r="I7" s="45">
        <v>1.0900000000000001</v>
      </c>
      <c r="J7" s="63">
        <f t="shared" si="0"/>
        <v>3.0000000000000004E-5</v>
      </c>
      <c r="K7" s="63">
        <f t="shared" si="1"/>
        <v>0.05</v>
      </c>
      <c r="L7" s="63">
        <f t="shared" si="2"/>
        <v>0.14310835055998655</v>
      </c>
      <c r="M7" s="63">
        <f t="shared" si="2"/>
        <v>4.1367257583746105E-2</v>
      </c>
      <c r="N7" s="63">
        <f t="shared" si="3"/>
        <v>7.7074639149333699E-2</v>
      </c>
      <c r="O7" s="63">
        <v>1</v>
      </c>
      <c r="P7" s="23">
        <f t="shared" si="4"/>
        <v>-0.81997000000000009</v>
      </c>
      <c r="Q7" s="23">
        <f t="shared" si="5"/>
        <v>0.81997000000000009</v>
      </c>
      <c r="R7" s="32">
        <f t="shared" si="6"/>
        <v>-2.4388500000000009</v>
      </c>
      <c r="S7" s="23">
        <f t="shared" si="7"/>
        <v>2.9743161335170805</v>
      </c>
    </row>
    <row r="8" spans="1:19" s="11" customFormat="1">
      <c r="A8" s="20" t="s">
        <v>22</v>
      </c>
      <c r="B8" s="20" t="s">
        <v>21</v>
      </c>
      <c r="C8" s="20" t="s">
        <v>4</v>
      </c>
      <c r="D8" s="20">
        <v>20</v>
      </c>
      <c r="E8" s="20">
        <v>7</v>
      </c>
      <c r="F8" s="70">
        <v>1</v>
      </c>
      <c r="G8" s="2">
        <v>0.4</v>
      </c>
      <c r="H8" s="39">
        <v>0.06</v>
      </c>
      <c r="I8" s="46">
        <v>0.71</v>
      </c>
      <c r="J8" s="63">
        <f t="shared" ref="J8:J21" si="8">0.00001*6/2</f>
        <v>3.0000000000000004E-5</v>
      </c>
      <c r="K8" s="63">
        <f t="shared" ref="K8:K21" si="9">0.05*F8</f>
        <v>0.05</v>
      </c>
      <c r="L8" s="63">
        <f t="shared" ref="L8:L21" si="10">+ABS(G8)*SQRT((0.1*G8/G8)^2+($K8/$F8)^2)</f>
        <v>4.4721359549995808E-2</v>
      </c>
      <c r="M8" s="63">
        <f t="shared" ref="M8:M21" si="11">+ABS(H8)*SQRT((0.1*H8/H8)^2+($K8/$F8)^2)</f>
        <v>6.7082039324993696E-3</v>
      </c>
      <c r="N8" s="63">
        <f t="shared" ref="N8:N21" si="12">+ABS(I8)*SQRT((0.05*I8/I8)^2+($K8/$F8)^2)</f>
        <v>5.020458146424487E-2</v>
      </c>
      <c r="O8" s="63">
        <v>1</v>
      </c>
      <c r="P8" s="20">
        <f t="shared" ref="P8:P21" si="13">-1-G8+H8+I8+J8</f>
        <v>-0.62996999999999992</v>
      </c>
      <c r="Q8" s="74">
        <f t="shared" ref="Q8:Q15" si="14">+-P8</f>
        <v>0.62996999999999992</v>
      </c>
      <c r="R8" s="33">
        <f t="shared" ref="R8:R21" si="15">-4-4*G8+24/5*H8+18/4*I8+30/6*J8</f>
        <v>-2.1168499999999995</v>
      </c>
      <c r="S8" s="33">
        <f t="shared" ref="S8:S15" si="16">+R8/P8</f>
        <v>3.3602393764782446</v>
      </c>
    </row>
    <row r="9" spans="1:19" s="11" customFormat="1">
      <c r="A9" s="20" t="s">
        <v>22</v>
      </c>
      <c r="B9" s="20" t="s">
        <v>21</v>
      </c>
      <c r="C9" s="20" t="s">
        <v>4</v>
      </c>
      <c r="D9" s="20">
        <v>20</v>
      </c>
      <c r="E9" s="20">
        <v>7</v>
      </c>
      <c r="F9" s="70">
        <v>1</v>
      </c>
      <c r="G9" s="2">
        <v>0.57999999999999996</v>
      </c>
      <c r="H9" s="39">
        <v>0.25</v>
      </c>
      <c r="I9" s="46">
        <v>1.39</v>
      </c>
      <c r="J9" s="63">
        <f t="shared" si="8"/>
        <v>3.0000000000000004E-5</v>
      </c>
      <c r="K9" s="63">
        <f t="shared" si="9"/>
        <v>0.05</v>
      </c>
      <c r="L9" s="63">
        <f t="shared" si="10"/>
        <v>6.4845971347493897E-2</v>
      </c>
      <c r="M9" s="63">
        <f t="shared" si="11"/>
        <v>2.7950849718747374E-2</v>
      </c>
      <c r="N9" s="63">
        <f t="shared" si="12"/>
        <v>9.8287842584930105E-2</v>
      </c>
      <c r="O9" s="63">
        <f t="shared" ref="O9:O15" si="17">ABS(J9)*SQRT((0.1*J9/J9)^2+($K9/$F9)^2)</f>
        <v>3.3541019662496853E-6</v>
      </c>
      <c r="P9" s="20">
        <f t="shared" si="13"/>
        <v>6.0029999999999833E-2</v>
      </c>
      <c r="Q9" s="74">
        <f t="shared" si="14"/>
        <v>-6.0029999999999833E-2</v>
      </c>
      <c r="R9" s="33">
        <f t="shared" si="15"/>
        <v>1.1351499999999999</v>
      </c>
      <c r="S9" s="33">
        <f t="shared" si="16"/>
        <v>18.909711810761337</v>
      </c>
    </row>
    <row r="10" spans="1:19" s="11" customFormat="1">
      <c r="A10" s="19" t="s">
        <v>24</v>
      </c>
      <c r="B10" s="28" t="s">
        <v>36</v>
      </c>
      <c r="C10" s="19" t="s">
        <v>4</v>
      </c>
      <c r="D10" s="19">
        <v>20</v>
      </c>
      <c r="E10" s="25" t="s">
        <v>32</v>
      </c>
      <c r="F10" s="70">
        <v>1</v>
      </c>
      <c r="G10" s="3">
        <v>0.46</v>
      </c>
      <c r="H10" s="40">
        <v>7.0000000000000007E-2</v>
      </c>
      <c r="I10" s="47">
        <v>1.18</v>
      </c>
      <c r="J10" s="63">
        <f t="shared" si="8"/>
        <v>3.0000000000000004E-5</v>
      </c>
      <c r="K10" s="63">
        <f t="shared" si="9"/>
        <v>0.05</v>
      </c>
      <c r="L10" s="63">
        <f t="shared" si="10"/>
        <v>5.1429563482495173E-2</v>
      </c>
      <c r="M10" s="63">
        <f t="shared" si="11"/>
        <v>7.8262379212492659E-3</v>
      </c>
      <c r="N10" s="63">
        <f t="shared" si="12"/>
        <v>8.3438600180012618E-2</v>
      </c>
      <c r="O10" s="63">
        <v>1</v>
      </c>
      <c r="P10" s="19">
        <f t="shared" si="13"/>
        <v>-0.20996999999999996</v>
      </c>
      <c r="Q10" s="75">
        <f t="shared" si="14"/>
        <v>0.20996999999999996</v>
      </c>
      <c r="R10" s="34">
        <f t="shared" si="15"/>
        <v>-0.19384999999999994</v>
      </c>
      <c r="S10" s="34">
        <f t="shared" si="16"/>
        <v>0.92322712768490722</v>
      </c>
    </row>
    <row r="11" spans="1:19" s="11" customFormat="1">
      <c r="A11" s="19" t="s">
        <v>24</v>
      </c>
      <c r="B11" s="28" t="s">
        <v>36</v>
      </c>
      <c r="C11" s="19" t="s">
        <v>4</v>
      </c>
      <c r="D11" s="19">
        <v>20</v>
      </c>
      <c r="E11" s="19">
        <v>7.5</v>
      </c>
      <c r="F11" s="70">
        <v>1</v>
      </c>
      <c r="G11" s="3">
        <v>1.03</v>
      </c>
      <c r="H11" s="40">
        <v>0.46</v>
      </c>
      <c r="I11" s="47">
        <v>1.24</v>
      </c>
      <c r="J11" s="63">
        <f t="shared" si="8"/>
        <v>3.0000000000000004E-5</v>
      </c>
      <c r="K11" s="63">
        <f t="shared" si="9"/>
        <v>0.05</v>
      </c>
      <c r="L11" s="63">
        <f t="shared" si="10"/>
        <v>0.11515750084123919</v>
      </c>
      <c r="M11" s="63">
        <f t="shared" si="11"/>
        <v>5.1429563482495173E-2</v>
      </c>
      <c r="N11" s="63">
        <f t="shared" si="12"/>
        <v>8.7681240867131915E-2</v>
      </c>
      <c r="O11" s="63">
        <v>1</v>
      </c>
      <c r="P11" s="19">
        <f t="shared" si="13"/>
        <v>-0.32997000000000032</v>
      </c>
      <c r="Q11" s="75">
        <f t="shared" si="14"/>
        <v>0.32997000000000032</v>
      </c>
      <c r="R11" s="34">
        <f t="shared" si="15"/>
        <v>-0.33185000000000076</v>
      </c>
      <c r="S11" s="34">
        <f t="shared" si="16"/>
        <v>1.0056974876503937</v>
      </c>
    </row>
    <row r="12" spans="1:19">
      <c r="A12" s="7" t="s">
        <v>26</v>
      </c>
      <c r="B12" s="7" t="s">
        <v>23</v>
      </c>
      <c r="C12" s="7" t="s">
        <v>4</v>
      </c>
      <c r="D12" s="7">
        <v>20</v>
      </c>
      <c r="E12" s="7">
        <v>7</v>
      </c>
      <c r="F12" s="70">
        <v>1</v>
      </c>
      <c r="G12" s="5">
        <v>0.5</v>
      </c>
      <c r="H12" s="41">
        <v>0.12</v>
      </c>
      <c r="I12" s="48">
        <v>1.21</v>
      </c>
      <c r="J12" s="63">
        <f t="shared" si="8"/>
        <v>3.0000000000000004E-5</v>
      </c>
      <c r="K12" s="63">
        <f t="shared" si="9"/>
        <v>0.05</v>
      </c>
      <c r="L12" s="63">
        <f t="shared" si="10"/>
        <v>5.5901699437494748E-2</v>
      </c>
      <c r="M12" s="63">
        <f t="shared" si="11"/>
        <v>1.3416407864998739E-2</v>
      </c>
      <c r="N12" s="63">
        <f t="shared" si="12"/>
        <v>8.5559920523572267E-2</v>
      </c>
      <c r="O12" s="63">
        <v>1</v>
      </c>
      <c r="P12" s="7">
        <f t="shared" si="13"/>
        <v>-0.16996999999999993</v>
      </c>
      <c r="Q12" s="76">
        <f t="shared" si="14"/>
        <v>0.16996999999999993</v>
      </c>
      <c r="R12" s="35">
        <f t="shared" si="15"/>
        <v>2.1149999999999908E-2</v>
      </c>
      <c r="S12" s="35">
        <f t="shared" si="16"/>
        <v>-0.12443372359828156</v>
      </c>
    </row>
    <row r="13" spans="1:19">
      <c r="A13" s="8" t="s">
        <v>27</v>
      </c>
      <c r="B13" s="30" t="s">
        <v>38</v>
      </c>
      <c r="C13" s="8" t="s">
        <v>3</v>
      </c>
      <c r="D13" s="8">
        <v>20</v>
      </c>
      <c r="E13" s="8">
        <v>7</v>
      </c>
      <c r="F13" s="70">
        <v>1</v>
      </c>
      <c r="G13" s="6">
        <v>0.55000000000000004</v>
      </c>
      <c r="H13" s="42">
        <v>0.13</v>
      </c>
      <c r="I13" s="49">
        <v>1.31</v>
      </c>
      <c r="J13" s="63">
        <f t="shared" si="8"/>
        <v>3.0000000000000004E-5</v>
      </c>
      <c r="K13" s="63">
        <f t="shared" si="9"/>
        <v>0.05</v>
      </c>
      <c r="L13" s="63">
        <f t="shared" si="10"/>
        <v>6.1491869381244228E-2</v>
      </c>
      <c r="M13" s="63">
        <f t="shared" si="11"/>
        <v>1.4534441853748635E-2</v>
      </c>
      <c r="N13" s="63">
        <f t="shared" si="12"/>
        <v>9.2630988335437744E-2</v>
      </c>
      <c r="O13" s="63">
        <f t="shared" si="17"/>
        <v>3.3541019662496853E-6</v>
      </c>
      <c r="P13" s="8">
        <f t="shared" si="13"/>
        <v>-0.10996999999999987</v>
      </c>
      <c r="Q13" s="77">
        <f t="shared" si="14"/>
        <v>0.10996999999999987</v>
      </c>
      <c r="R13" s="36">
        <f t="shared" si="15"/>
        <v>0.31914999999999993</v>
      </c>
      <c r="S13" s="36">
        <f t="shared" si="16"/>
        <v>-2.902155133218153</v>
      </c>
    </row>
    <row r="14" spans="1:19">
      <c r="A14" s="17" t="s">
        <v>28</v>
      </c>
      <c r="B14" s="27" t="s">
        <v>39</v>
      </c>
      <c r="C14" s="17" t="s">
        <v>1</v>
      </c>
      <c r="D14" s="17">
        <v>20</v>
      </c>
      <c r="E14" s="17">
        <v>7</v>
      </c>
      <c r="F14" s="70">
        <v>1</v>
      </c>
      <c r="G14" s="1">
        <v>1.2</v>
      </c>
      <c r="H14" s="43">
        <v>0.52</v>
      </c>
      <c r="I14" s="45">
        <v>1.39</v>
      </c>
      <c r="J14" s="63">
        <f t="shared" si="8"/>
        <v>3.0000000000000004E-5</v>
      </c>
      <c r="K14" s="63">
        <f t="shared" si="9"/>
        <v>0.05</v>
      </c>
      <c r="L14" s="63">
        <f t="shared" si="10"/>
        <v>0.13416407864998739</v>
      </c>
      <c r="M14" s="63">
        <f t="shared" si="11"/>
        <v>5.8137767414994539E-2</v>
      </c>
      <c r="N14" s="63">
        <f t="shared" si="12"/>
        <v>9.8287842584930105E-2</v>
      </c>
      <c r="O14" s="63">
        <v>1</v>
      </c>
      <c r="P14" s="17">
        <f t="shared" si="13"/>
        <v>-0.28997000000000028</v>
      </c>
      <c r="Q14" s="78">
        <f t="shared" si="14"/>
        <v>0.28997000000000028</v>
      </c>
      <c r="R14" s="37">
        <f t="shared" si="15"/>
        <v>-4.8850000000000379E-2</v>
      </c>
      <c r="S14" s="37">
        <f t="shared" si="16"/>
        <v>0.1684657033486234</v>
      </c>
    </row>
    <row r="15" spans="1:19">
      <c r="A15" s="9" t="s">
        <v>29</v>
      </c>
      <c r="B15" s="31" t="s">
        <v>40</v>
      </c>
      <c r="C15" s="9" t="s">
        <v>1</v>
      </c>
      <c r="D15" s="9">
        <v>20</v>
      </c>
      <c r="E15" s="9">
        <v>7</v>
      </c>
      <c r="F15" s="63">
        <v>1</v>
      </c>
      <c r="G15" s="4">
        <v>1.1000000000000001</v>
      </c>
      <c r="H15" s="44">
        <v>0.69</v>
      </c>
      <c r="I15" s="50">
        <v>1.28</v>
      </c>
      <c r="J15" s="63">
        <f t="shared" si="8"/>
        <v>3.0000000000000004E-5</v>
      </c>
      <c r="K15" s="63">
        <f t="shared" si="9"/>
        <v>0.05</v>
      </c>
      <c r="L15" s="63">
        <f t="shared" si="10"/>
        <v>0.12298373876248846</v>
      </c>
      <c r="M15" s="63">
        <f t="shared" si="11"/>
        <v>7.7144345223742736E-2</v>
      </c>
      <c r="N15" s="63">
        <f t="shared" si="12"/>
        <v>9.0509667991878096E-2</v>
      </c>
      <c r="O15" s="63">
        <f t="shared" si="17"/>
        <v>3.3541019662496853E-6</v>
      </c>
      <c r="P15" s="9">
        <f t="shared" si="13"/>
        <v>-0.12997000000000011</v>
      </c>
      <c r="Q15" s="79">
        <f t="shared" si="14"/>
        <v>0.12997000000000011</v>
      </c>
      <c r="R15" s="38">
        <f t="shared" si="15"/>
        <v>0.6721499999999988</v>
      </c>
      <c r="S15" s="38">
        <f t="shared" si="16"/>
        <v>-5.1715780564745577</v>
      </c>
    </row>
    <row r="16" spans="1:19">
      <c r="A16" s="17" t="s">
        <v>20</v>
      </c>
      <c r="B16" s="27" t="s">
        <v>41</v>
      </c>
      <c r="C16" s="17" t="s">
        <v>5</v>
      </c>
      <c r="D16" s="17">
        <v>20</v>
      </c>
      <c r="E16" s="17">
        <v>7</v>
      </c>
      <c r="F16" s="70">
        <v>1</v>
      </c>
      <c r="G16" s="1">
        <v>1.01</v>
      </c>
      <c r="H16" s="1">
        <v>0.32</v>
      </c>
      <c r="I16" s="1">
        <v>1.22</v>
      </c>
      <c r="J16" s="63">
        <f t="shared" si="8"/>
        <v>3.0000000000000004E-5</v>
      </c>
      <c r="K16" s="63">
        <f t="shared" si="9"/>
        <v>0.05</v>
      </c>
      <c r="L16" s="63">
        <f t="shared" si="10"/>
        <v>0.11292143286373939</v>
      </c>
      <c r="M16" s="63">
        <f t="shared" si="11"/>
        <v>3.5777087639996638E-2</v>
      </c>
      <c r="N16" s="63">
        <f t="shared" si="12"/>
        <v>8.6267027304758812E-2</v>
      </c>
      <c r="O16" s="63">
        <v>1</v>
      </c>
      <c r="P16" s="1">
        <f t="shared" si="13"/>
        <v>-0.46996999999999978</v>
      </c>
      <c r="Q16" s="23">
        <f>+-P16</f>
        <v>0.46996999999999978</v>
      </c>
      <c r="R16" s="32">
        <f t="shared" si="15"/>
        <v>-1.0138499999999993</v>
      </c>
      <c r="S16" s="24">
        <f t="shared" ref="S16:S21" si="18">+R16/P16</f>
        <v>2.1572653573632352</v>
      </c>
    </row>
    <row r="17" spans="1:19">
      <c r="A17" s="17" t="s">
        <v>20</v>
      </c>
      <c r="B17" s="27" t="s">
        <v>41</v>
      </c>
      <c r="C17" s="17" t="s">
        <v>5</v>
      </c>
      <c r="D17" s="17">
        <v>20</v>
      </c>
      <c r="E17" s="17">
        <v>7</v>
      </c>
      <c r="F17" s="70">
        <v>1</v>
      </c>
      <c r="G17" s="1">
        <v>1.22</v>
      </c>
      <c r="H17" s="1">
        <v>0.26</v>
      </c>
      <c r="I17" s="1">
        <v>1.35</v>
      </c>
      <c r="J17" s="63">
        <f t="shared" si="8"/>
        <v>3.0000000000000004E-5</v>
      </c>
      <c r="K17" s="63">
        <f t="shared" si="9"/>
        <v>0.05</v>
      </c>
      <c r="L17" s="63">
        <f t="shared" si="10"/>
        <v>0.13640014662748717</v>
      </c>
      <c r="M17" s="63">
        <f t="shared" si="11"/>
        <v>2.9068883707497269E-2</v>
      </c>
      <c r="N17" s="63">
        <f t="shared" si="12"/>
        <v>9.5459415460183938E-2</v>
      </c>
      <c r="O17" s="63">
        <v>1</v>
      </c>
      <c r="P17" s="1">
        <f t="shared" si="13"/>
        <v>-0.60996999999999968</v>
      </c>
      <c r="Q17" s="23">
        <f t="shared" ref="Q17:Q21" si="19">+-P17</f>
        <v>0.60996999999999968</v>
      </c>
      <c r="R17" s="32">
        <f t="shared" si="15"/>
        <v>-1.5568499999999985</v>
      </c>
      <c r="S17" s="24">
        <f t="shared" si="18"/>
        <v>2.5523386396052254</v>
      </c>
    </row>
    <row r="18" spans="1:19">
      <c r="A18" s="17" t="s">
        <v>20</v>
      </c>
      <c r="B18" s="27" t="s">
        <v>41</v>
      </c>
      <c r="C18" s="17" t="s">
        <v>5</v>
      </c>
      <c r="D18" s="17">
        <v>20</v>
      </c>
      <c r="E18" s="17">
        <v>7</v>
      </c>
      <c r="F18" s="70">
        <v>1</v>
      </c>
      <c r="G18" s="1">
        <v>0.86</v>
      </c>
      <c r="H18" s="1">
        <v>0.19</v>
      </c>
      <c r="I18" s="1">
        <v>1.17</v>
      </c>
      <c r="J18" s="63">
        <f t="shared" si="8"/>
        <v>3.0000000000000004E-5</v>
      </c>
      <c r="K18" s="63">
        <f t="shared" si="9"/>
        <v>0.05</v>
      </c>
      <c r="L18" s="63">
        <f t="shared" si="10"/>
        <v>9.6150923032490968E-2</v>
      </c>
      <c r="M18" s="63">
        <f t="shared" si="11"/>
        <v>2.1242645786248009E-2</v>
      </c>
      <c r="N18" s="63">
        <f t="shared" si="12"/>
        <v>8.2731493398826073E-2</v>
      </c>
      <c r="O18" s="63">
        <v>1</v>
      </c>
      <c r="P18" s="1">
        <f t="shared" si="13"/>
        <v>-0.49997000000000003</v>
      </c>
      <c r="Q18" s="23">
        <f t="shared" si="19"/>
        <v>0.49997000000000003</v>
      </c>
      <c r="R18" s="32">
        <f t="shared" si="15"/>
        <v>-1.2628499999999998</v>
      </c>
      <c r="S18" s="24">
        <f t="shared" si="18"/>
        <v>2.5258515510930653</v>
      </c>
    </row>
    <row r="19" spans="1:19">
      <c r="A19" s="17" t="s">
        <v>20</v>
      </c>
      <c r="B19" s="27" t="s">
        <v>41</v>
      </c>
      <c r="C19" s="17" t="s">
        <v>5</v>
      </c>
      <c r="D19" s="17">
        <v>20</v>
      </c>
      <c r="E19" s="17">
        <v>7</v>
      </c>
      <c r="F19" s="70">
        <v>1</v>
      </c>
      <c r="G19" s="1">
        <v>1.02</v>
      </c>
      <c r="H19" s="1">
        <v>0.16</v>
      </c>
      <c r="I19" s="1">
        <v>1.07</v>
      </c>
      <c r="J19" s="63">
        <f t="shared" si="8"/>
        <v>3.0000000000000004E-5</v>
      </c>
      <c r="K19" s="63">
        <f t="shared" si="9"/>
        <v>0.05</v>
      </c>
      <c r="L19" s="63">
        <f t="shared" si="10"/>
        <v>0.11403946685248929</v>
      </c>
      <c r="M19" s="63">
        <f t="shared" si="11"/>
        <v>1.7888543819998319E-2</v>
      </c>
      <c r="N19" s="63">
        <f t="shared" si="12"/>
        <v>7.5660425586960608E-2</v>
      </c>
      <c r="O19" s="63">
        <v>1</v>
      </c>
      <c r="P19" s="1">
        <f t="shared" si="13"/>
        <v>-0.78997000000000006</v>
      </c>
      <c r="Q19" s="23">
        <f t="shared" si="19"/>
        <v>0.78997000000000006</v>
      </c>
      <c r="R19" s="32">
        <f t="shared" si="15"/>
        <v>-2.4968499999999998</v>
      </c>
      <c r="S19" s="24">
        <f t="shared" si="18"/>
        <v>3.1606896464422696</v>
      </c>
    </row>
    <row r="20" spans="1:19">
      <c r="A20" s="17" t="s">
        <v>20</v>
      </c>
      <c r="B20" s="27" t="s">
        <v>41</v>
      </c>
      <c r="C20" s="17" t="s">
        <v>5</v>
      </c>
      <c r="D20" s="17">
        <v>20</v>
      </c>
      <c r="E20" s="17">
        <v>7</v>
      </c>
      <c r="F20" s="70">
        <v>1</v>
      </c>
      <c r="G20" s="1">
        <v>0.89</v>
      </c>
      <c r="H20" s="1">
        <v>0.14000000000000001</v>
      </c>
      <c r="I20" s="1">
        <v>1</v>
      </c>
      <c r="J20" s="63">
        <f t="shared" si="8"/>
        <v>3.0000000000000004E-5</v>
      </c>
      <c r="K20" s="63">
        <f t="shared" si="9"/>
        <v>0.05</v>
      </c>
      <c r="L20" s="63">
        <f t="shared" si="10"/>
        <v>9.9505024998740657E-2</v>
      </c>
      <c r="M20" s="63">
        <f t="shared" si="11"/>
        <v>1.5652475842498532E-2</v>
      </c>
      <c r="N20" s="63">
        <f t="shared" si="12"/>
        <v>7.0710678118654766E-2</v>
      </c>
      <c r="O20" s="63">
        <v>1</v>
      </c>
      <c r="P20" s="1">
        <f t="shared" si="13"/>
        <v>-0.74997000000000003</v>
      </c>
      <c r="Q20" s="23">
        <f t="shared" si="19"/>
        <v>0.74997000000000003</v>
      </c>
      <c r="R20" s="32">
        <f t="shared" si="15"/>
        <v>-2.3878500000000007</v>
      </c>
      <c r="S20" s="24">
        <f t="shared" si="18"/>
        <v>3.1839273570942845</v>
      </c>
    </row>
    <row r="21" spans="1:19">
      <c r="A21" s="17" t="s">
        <v>20</v>
      </c>
      <c r="B21" s="27" t="s">
        <v>41</v>
      </c>
      <c r="C21" s="17" t="s">
        <v>5</v>
      </c>
      <c r="D21" s="17">
        <v>20</v>
      </c>
      <c r="E21" s="17">
        <v>7</v>
      </c>
      <c r="F21" s="70">
        <v>1</v>
      </c>
      <c r="G21" s="1">
        <v>0.66</v>
      </c>
      <c r="H21" s="1">
        <v>0.12</v>
      </c>
      <c r="I21" s="1">
        <v>0.97</v>
      </c>
      <c r="J21" s="63">
        <f t="shared" si="8"/>
        <v>3.0000000000000004E-5</v>
      </c>
      <c r="K21" s="63">
        <f t="shared" si="9"/>
        <v>0.05</v>
      </c>
      <c r="L21" s="63">
        <f t="shared" si="10"/>
        <v>7.3790243257493074E-2</v>
      </c>
      <c r="M21" s="63">
        <f t="shared" si="11"/>
        <v>1.3416407864998739E-2</v>
      </c>
      <c r="N21" s="63">
        <f t="shared" si="12"/>
        <v>6.8589357775095117E-2</v>
      </c>
      <c r="O21" s="63">
        <v>1</v>
      </c>
      <c r="P21" s="1">
        <f t="shared" si="13"/>
        <v>-0.56997000000000009</v>
      </c>
      <c r="Q21" s="23">
        <f t="shared" si="19"/>
        <v>0.56997000000000009</v>
      </c>
      <c r="R21" s="32">
        <f t="shared" si="15"/>
        <v>-1.6988500000000006</v>
      </c>
      <c r="S21" s="24">
        <f t="shared" si="18"/>
        <v>2.9805954699370147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362796-DEDB-0E43-9960-69A393ED91D8}">
  <dimension ref="A2:N21"/>
  <sheetViews>
    <sheetView workbookViewId="0">
      <selection activeCell="A13" sqref="A1:XFD13"/>
    </sheetView>
  </sheetViews>
  <sheetFormatPr baseColWidth="10" defaultRowHeight="16"/>
  <cols>
    <col min="4" max="5" width="12.1640625" customWidth="1" collapsed="1"/>
    <col min="6" max="6" width="12.83203125" customWidth="1" collapsed="1"/>
    <col min="7" max="12" width="12.1640625" customWidth="1" collapsed="1"/>
  </cols>
  <sheetData>
    <row r="2" spans="1:14">
      <c r="A2" s="14"/>
      <c r="B2" s="14"/>
      <c r="C2" s="14"/>
      <c r="D2" s="14"/>
      <c r="E2" s="14"/>
      <c r="F2" s="14"/>
      <c r="G2" s="14"/>
    </row>
    <row r="3" spans="1:14">
      <c r="A3" s="111" t="s">
        <v>69</v>
      </c>
      <c r="B3" s="111"/>
      <c r="C3" s="111"/>
      <c r="D3" s="111"/>
      <c r="E3" s="111"/>
      <c r="F3" s="111"/>
      <c r="G3" s="111"/>
    </row>
    <row r="4" spans="1:14" ht="34">
      <c r="A4" s="13" t="s">
        <v>71</v>
      </c>
      <c r="B4" s="13" t="s">
        <v>120</v>
      </c>
      <c r="C4" s="13" t="s">
        <v>90</v>
      </c>
      <c r="D4" s="13" t="s">
        <v>91</v>
      </c>
      <c r="E4" s="13" t="s">
        <v>92</v>
      </c>
      <c r="F4" s="13" t="s">
        <v>93</v>
      </c>
      <c r="G4" s="13" t="s">
        <v>123</v>
      </c>
      <c r="H4" s="13" t="s">
        <v>64</v>
      </c>
      <c r="I4" s="13" t="s">
        <v>127</v>
      </c>
      <c r="J4" s="13" t="s">
        <v>128</v>
      </c>
      <c r="K4" s="13" t="s">
        <v>72</v>
      </c>
      <c r="L4" s="13" t="s">
        <v>67</v>
      </c>
      <c r="M4" s="13" t="s">
        <v>8</v>
      </c>
      <c r="N4" s="13" t="s">
        <v>9</v>
      </c>
    </row>
    <row r="5" spans="1:14">
      <c r="A5" s="1">
        <v>0</v>
      </c>
      <c r="B5" s="1">
        <v>1</v>
      </c>
      <c r="C5" s="71">
        <f>+(21/24+3*A5/2)</f>
        <v>0.875</v>
      </c>
      <c r="D5" s="71">
        <f>2.5*(35/24+A5/2)*(3/24+A5/2)/(19/12+A5)</f>
        <v>0.28782894736842102</v>
      </c>
      <c r="E5" s="71">
        <f>(35/24+A5/2)^2/(19/12+A5)</f>
        <v>1.3432017543859647</v>
      </c>
      <c r="F5" s="71">
        <f>1.5*((3/24+A5/2)^2)/(19/12+A5)</f>
        <v>1.4802631578947369E-2</v>
      </c>
      <c r="G5" s="71">
        <f>(11/48+A5/4)</f>
        <v>0.22916666666666666</v>
      </c>
      <c r="H5" s="23">
        <f t="shared" ref="H5:H21" si="0">C5/($C5+$B5)</f>
        <v>0.46666666666666667</v>
      </c>
      <c r="I5" s="23">
        <f t="shared" ref="I5:L5" si="1">D5/($C5+$B5)</f>
        <v>0.15350877192982454</v>
      </c>
      <c r="J5" s="23">
        <f t="shared" si="1"/>
        <v>0.71637426900584777</v>
      </c>
      <c r="K5" s="23">
        <f t="shared" si="1"/>
        <v>7.8947368421052634E-3</v>
      </c>
      <c r="L5" s="23">
        <f t="shared" si="1"/>
        <v>0.12222222222222222</v>
      </c>
      <c r="M5" s="16">
        <f>-B5-C5+D5+E5+F5+G5</f>
        <v>-2.7755575615628914E-16</v>
      </c>
      <c r="N5" s="16">
        <f>-4*B5-4*C5+24/5*D5+18/4*E5+30/6*F5</f>
        <v>-1.2073675392798577E-15</v>
      </c>
    </row>
    <row r="6" spans="1:14">
      <c r="A6" s="1">
        <v>0.1</v>
      </c>
      <c r="B6" s="1">
        <v>1</v>
      </c>
      <c r="C6" s="71">
        <f t="shared" ref="C6:C21" si="2">+(21/24+3*A6/2)</f>
        <v>1.0249999999999999</v>
      </c>
      <c r="D6" s="71">
        <f t="shared" ref="D6:D21" si="3">2.5*(35/24+A6/2)*(3/24+A6/2)/(19/12+A6)</f>
        <v>0.3920173267326732</v>
      </c>
      <c r="E6" s="71">
        <f t="shared" ref="E6:E21" si="4">(35/24+A6/2)^2/(19/12+A6)</f>
        <v>1.3515264026402638</v>
      </c>
      <c r="F6" s="71">
        <f t="shared" ref="F6:F21" si="5">1.5*((3/24+A6/2)^2)/(19/12+A6)</f>
        <v>2.7289603960396036E-2</v>
      </c>
      <c r="G6" s="71">
        <f t="shared" ref="G6:G21" si="6">(11/48+A6/4)</f>
        <v>0.25416666666666665</v>
      </c>
      <c r="H6" s="23">
        <f t="shared" si="0"/>
        <v>0.50617283950617287</v>
      </c>
      <c r="I6" s="23">
        <f t="shared" ref="I6:I21" si="7">D6/($C6+$B6)</f>
        <v>0.1935888033247769</v>
      </c>
      <c r="J6" s="23">
        <f t="shared" ref="J6:J21" si="8">E6/($C6+$B6)</f>
        <v>0.66742044574827841</v>
      </c>
      <c r="K6" s="23">
        <f t="shared" ref="K6:K21" si="9">F6/($C6+$B6)</f>
        <v>1.3476347634763476E-2</v>
      </c>
      <c r="L6" s="23">
        <f t="shared" ref="L6:L21" si="10">G6/($C6+$B6)</f>
        <v>0.12551440329218108</v>
      </c>
      <c r="M6" s="16">
        <f t="shared" ref="M6:M21" si="11">-B6-C6+D6+E6+F6+G6</f>
        <v>0</v>
      </c>
      <c r="N6" s="16">
        <f t="shared" ref="N6:N21" si="12">-4*B6-4*C6+24/5*D6+18/4*E6+30/6*F6</f>
        <v>-8.8817841970012523E-16</v>
      </c>
    </row>
    <row r="7" spans="1:14">
      <c r="A7" s="1">
        <v>0.2</v>
      </c>
      <c r="B7" s="1">
        <v>1</v>
      </c>
      <c r="C7" s="71">
        <f t="shared" si="2"/>
        <v>1.175</v>
      </c>
      <c r="D7" s="71">
        <f t="shared" si="3"/>
        <v>0.49153037383177572</v>
      </c>
      <c r="E7" s="71">
        <f t="shared" si="4"/>
        <v>1.3617211838006231</v>
      </c>
      <c r="F7" s="71">
        <f t="shared" si="5"/>
        <v>4.2581775700934583E-2</v>
      </c>
      <c r="G7" s="71">
        <f t="shared" si="6"/>
        <v>0.27916666666666667</v>
      </c>
      <c r="H7" s="23">
        <f t="shared" si="0"/>
        <v>0.54022988505747138</v>
      </c>
      <c r="I7" s="23">
        <f t="shared" si="7"/>
        <v>0.22599097647437966</v>
      </c>
      <c r="J7" s="23">
        <f t="shared" si="8"/>
        <v>0.62607870519568887</v>
      </c>
      <c r="K7" s="23">
        <f t="shared" si="9"/>
        <v>1.9577827908475672E-2</v>
      </c>
      <c r="L7" s="23">
        <f t="shared" si="10"/>
        <v>0.12835249042145594</v>
      </c>
      <c r="M7" s="16">
        <f t="shared" si="11"/>
        <v>0</v>
      </c>
      <c r="N7" s="16">
        <f t="shared" si="12"/>
        <v>1.5820678100908481E-15</v>
      </c>
    </row>
    <row r="8" spans="1:14">
      <c r="A8" s="1">
        <v>0.3</v>
      </c>
      <c r="B8" s="1">
        <v>1</v>
      </c>
      <c r="C8" s="71">
        <f t="shared" si="2"/>
        <v>1.325</v>
      </c>
      <c r="D8" s="71">
        <f t="shared" si="3"/>
        <v>0.58711283185840712</v>
      </c>
      <c r="E8" s="71">
        <f t="shared" si="4"/>
        <v>1.3734882005899702</v>
      </c>
      <c r="F8" s="71">
        <f t="shared" si="5"/>
        <v>6.0232300884955764E-2</v>
      </c>
      <c r="G8" s="71">
        <f t="shared" si="6"/>
        <v>0.30416666666666664</v>
      </c>
      <c r="H8" s="23">
        <f t="shared" si="0"/>
        <v>0.56989247311827951</v>
      </c>
      <c r="I8" s="23">
        <f t="shared" si="7"/>
        <v>0.2525216481111428</v>
      </c>
      <c r="J8" s="23">
        <f t="shared" si="8"/>
        <v>0.59074761315697644</v>
      </c>
      <c r="K8" s="23">
        <f t="shared" si="9"/>
        <v>2.5906365972023983E-2</v>
      </c>
      <c r="L8" s="23">
        <f t="shared" si="10"/>
        <v>0.13082437275985662</v>
      </c>
      <c r="M8" s="16">
        <f t="shared" si="11"/>
        <v>0</v>
      </c>
      <c r="N8" s="16">
        <f t="shared" si="12"/>
        <v>-2.6645352591003757E-15</v>
      </c>
    </row>
    <row r="9" spans="1:14">
      <c r="A9" s="1">
        <v>0.4</v>
      </c>
      <c r="B9" s="1">
        <v>1</v>
      </c>
      <c r="C9" s="71">
        <f t="shared" si="2"/>
        <v>1.4750000000000001</v>
      </c>
      <c r="D9" s="71">
        <f t="shared" si="3"/>
        <v>0.67935924369747902</v>
      </c>
      <c r="E9" s="71">
        <f t="shared" si="4"/>
        <v>1.3865896358543417</v>
      </c>
      <c r="F9" s="71">
        <f t="shared" si="5"/>
        <v>7.9884453781512613E-2</v>
      </c>
      <c r="G9" s="71">
        <f t="shared" si="6"/>
        <v>0.32916666666666666</v>
      </c>
      <c r="H9" s="23">
        <f t="shared" si="0"/>
        <v>0.59595959595959602</v>
      </c>
      <c r="I9" s="23">
        <f t="shared" si="7"/>
        <v>0.27448858331211273</v>
      </c>
      <c r="J9" s="23">
        <f t="shared" si="8"/>
        <v>0.56023823670882489</v>
      </c>
      <c r="K9" s="23">
        <f t="shared" si="9"/>
        <v>3.2276546982429336E-2</v>
      </c>
      <c r="L9" s="23">
        <f t="shared" si="10"/>
        <v>0.132996632996633</v>
      </c>
      <c r="M9" s="16">
        <f t="shared" si="11"/>
        <v>0</v>
      </c>
      <c r="N9" s="16">
        <f t="shared" si="12"/>
        <v>0</v>
      </c>
    </row>
    <row r="10" spans="1:14">
      <c r="A10" s="1">
        <v>0.5</v>
      </c>
      <c r="B10" s="1">
        <v>1</v>
      </c>
      <c r="C10" s="71">
        <f t="shared" si="2"/>
        <v>1.625</v>
      </c>
      <c r="D10" s="71">
        <f t="shared" si="3"/>
        <v>0.76875000000000016</v>
      </c>
      <c r="E10" s="71">
        <f t="shared" si="4"/>
        <v>1.4008333333333334</v>
      </c>
      <c r="F10" s="71">
        <f t="shared" si="5"/>
        <v>0.10125000000000002</v>
      </c>
      <c r="G10" s="71">
        <f t="shared" si="6"/>
        <v>0.35416666666666663</v>
      </c>
      <c r="H10" s="23">
        <f t="shared" si="0"/>
        <v>0.61904761904761907</v>
      </c>
      <c r="I10" s="23">
        <f t="shared" si="7"/>
        <v>0.29285714285714293</v>
      </c>
      <c r="J10" s="23">
        <f t="shared" si="8"/>
        <v>0.53365079365079371</v>
      </c>
      <c r="K10" s="23">
        <f t="shared" si="9"/>
        <v>3.8571428571428576E-2</v>
      </c>
      <c r="L10" s="23">
        <f t="shared" si="10"/>
        <v>0.13492063492063491</v>
      </c>
      <c r="M10" s="16">
        <f t="shared" si="11"/>
        <v>0</v>
      </c>
      <c r="N10" s="16">
        <f t="shared" si="12"/>
        <v>0</v>
      </c>
    </row>
    <row r="11" spans="1:14">
      <c r="A11" s="1">
        <v>0.6</v>
      </c>
      <c r="B11" s="1">
        <v>1</v>
      </c>
      <c r="C11" s="71">
        <f t="shared" si="2"/>
        <v>1.7749999999999999</v>
      </c>
      <c r="D11" s="71">
        <f t="shared" si="3"/>
        <v>0.85567748091603046</v>
      </c>
      <c r="E11" s="71">
        <f t="shared" si="4"/>
        <v>1.4160623409669213</v>
      </c>
      <c r="F11" s="71">
        <f t="shared" si="5"/>
        <v>0.12409351145038167</v>
      </c>
      <c r="G11" s="71">
        <f t="shared" si="6"/>
        <v>0.37916666666666665</v>
      </c>
      <c r="H11" s="23">
        <f t="shared" si="0"/>
        <v>0.63963963963963966</v>
      </c>
      <c r="I11" s="23">
        <f t="shared" si="7"/>
        <v>0.30835224537514611</v>
      </c>
      <c r="J11" s="23">
        <f t="shared" si="8"/>
        <v>0.51029273548357523</v>
      </c>
      <c r="K11" s="23">
        <f t="shared" si="9"/>
        <v>4.4718382504642044E-2</v>
      </c>
      <c r="L11" s="23">
        <f t="shared" si="10"/>
        <v>0.13663663663663664</v>
      </c>
      <c r="M11" s="16">
        <f t="shared" si="11"/>
        <v>0</v>
      </c>
      <c r="N11" s="16">
        <f t="shared" si="12"/>
        <v>0</v>
      </c>
    </row>
    <row r="12" spans="1:14">
      <c r="A12" s="1">
        <v>0.7</v>
      </c>
      <c r="B12" s="1">
        <v>1</v>
      </c>
      <c r="C12" s="71">
        <f t="shared" si="2"/>
        <v>1.9249999999999998</v>
      </c>
      <c r="D12" s="71">
        <f t="shared" si="3"/>
        <v>0.94046532846715314</v>
      </c>
      <c r="E12" s="71">
        <f t="shared" si="4"/>
        <v>1.4321472019464718</v>
      </c>
      <c r="F12" s="71">
        <f t="shared" si="5"/>
        <v>0.14822080291970804</v>
      </c>
      <c r="G12" s="71">
        <f t="shared" si="6"/>
        <v>0.40416666666666667</v>
      </c>
      <c r="H12" s="23">
        <f t="shared" si="0"/>
        <v>0.65811965811965811</v>
      </c>
      <c r="I12" s="23">
        <f t="shared" si="7"/>
        <v>0.32152660802295835</v>
      </c>
      <c r="J12" s="23">
        <f t="shared" si="8"/>
        <v>0.48962297502443486</v>
      </c>
      <c r="K12" s="23">
        <f t="shared" si="9"/>
        <v>5.0673778775968563E-2</v>
      </c>
      <c r="L12" s="23">
        <f t="shared" si="10"/>
        <v>0.13817663817663819</v>
      </c>
      <c r="M12" s="16">
        <f t="shared" si="11"/>
        <v>0</v>
      </c>
      <c r="N12" s="16">
        <f t="shared" si="12"/>
        <v>0</v>
      </c>
    </row>
    <row r="13" spans="1:14">
      <c r="A13" s="1">
        <v>0.8</v>
      </c>
      <c r="B13" s="1">
        <v>1</v>
      </c>
      <c r="C13" s="71">
        <f t="shared" si="2"/>
        <v>2.0750000000000002</v>
      </c>
      <c r="D13" s="71">
        <f t="shared" si="3"/>
        <v>1.0233828671328673</v>
      </c>
      <c r="E13" s="71">
        <f t="shared" si="4"/>
        <v>1.4489801864801866</v>
      </c>
      <c r="F13" s="71">
        <f t="shared" si="5"/>
        <v>0.17347027972027973</v>
      </c>
      <c r="G13" s="71">
        <f t="shared" si="6"/>
        <v>0.4291666666666667</v>
      </c>
      <c r="H13" s="23">
        <f t="shared" si="0"/>
        <v>0.67479674796747968</v>
      </c>
      <c r="I13" s="23">
        <f t="shared" si="7"/>
        <v>0.33280743646597311</v>
      </c>
      <c r="J13" s="23">
        <f t="shared" si="8"/>
        <v>0.4712130687740444</v>
      </c>
      <c r="K13" s="23">
        <f t="shared" si="9"/>
        <v>5.6413099096025925E-2</v>
      </c>
      <c r="L13" s="23">
        <f t="shared" si="10"/>
        <v>0.13956639566395665</v>
      </c>
      <c r="M13" s="16">
        <f t="shared" si="11"/>
        <v>0</v>
      </c>
      <c r="N13" s="16">
        <f t="shared" si="12"/>
        <v>0</v>
      </c>
    </row>
    <row r="14" spans="1:14">
      <c r="A14" s="1">
        <v>0.9</v>
      </c>
      <c r="B14" s="1">
        <v>1</v>
      </c>
      <c r="C14" s="71">
        <f t="shared" si="2"/>
        <v>2.2250000000000001</v>
      </c>
      <c r="D14" s="71">
        <f t="shared" si="3"/>
        <v>1.1046560402684562</v>
      </c>
      <c r="E14" s="71">
        <f t="shared" si="4"/>
        <v>1.4664709172259507</v>
      </c>
      <c r="F14" s="71">
        <f t="shared" si="5"/>
        <v>0.19970637583892614</v>
      </c>
      <c r="G14" s="71">
        <f t="shared" si="6"/>
        <v>0.45416666666666666</v>
      </c>
      <c r="H14" s="23">
        <f t="shared" si="0"/>
        <v>0.68992248062015504</v>
      </c>
      <c r="I14" s="23">
        <f t="shared" si="7"/>
        <v>0.34252900473440501</v>
      </c>
      <c r="J14" s="23">
        <f t="shared" si="8"/>
        <v>0.45471966425610871</v>
      </c>
      <c r="K14" s="23">
        <f t="shared" si="9"/>
        <v>6.1924457624473218E-2</v>
      </c>
      <c r="L14" s="23">
        <f t="shared" si="10"/>
        <v>0.1408268733850129</v>
      </c>
      <c r="M14" s="16">
        <f t="shared" si="11"/>
        <v>-6.106226635438361E-16</v>
      </c>
      <c r="N14" s="16">
        <f t="shared" si="12"/>
        <v>-1.7763568394002505E-15</v>
      </c>
    </row>
    <row r="15" spans="1:14">
      <c r="A15" s="1">
        <v>1</v>
      </c>
      <c r="B15" s="1">
        <v>1</v>
      </c>
      <c r="C15" s="71">
        <f t="shared" si="2"/>
        <v>2.375</v>
      </c>
      <c r="D15" s="71">
        <f t="shared" si="3"/>
        <v>1.184475806451613</v>
      </c>
      <c r="E15" s="71">
        <f t="shared" si="4"/>
        <v>1.4845430107526882</v>
      </c>
      <c r="F15" s="71">
        <f t="shared" si="5"/>
        <v>0.22681451612903228</v>
      </c>
      <c r="G15" s="71">
        <f t="shared" si="6"/>
        <v>0.47916666666666663</v>
      </c>
      <c r="H15" s="23">
        <f t="shared" si="0"/>
        <v>0.70370370370370372</v>
      </c>
      <c r="I15" s="23">
        <f t="shared" si="7"/>
        <v>0.35095579450418163</v>
      </c>
      <c r="J15" s="23">
        <f t="shared" si="8"/>
        <v>0.43986459577857429</v>
      </c>
      <c r="K15" s="23">
        <f t="shared" si="9"/>
        <v>6.7204301075268827E-2</v>
      </c>
      <c r="L15" s="23">
        <f t="shared" si="10"/>
        <v>0.1419753086419753</v>
      </c>
      <c r="M15" s="16">
        <f t="shared" si="11"/>
        <v>0</v>
      </c>
      <c r="N15" s="16">
        <f t="shared" si="12"/>
        <v>0</v>
      </c>
    </row>
    <row r="16" spans="1:14">
      <c r="A16" s="1">
        <v>1.1000000000000001</v>
      </c>
      <c r="B16" s="1">
        <v>1</v>
      </c>
      <c r="C16" s="71">
        <f t="shared" si="2"/>
        <v>2.5250000000000004</v>
      </c>
      <c r="D16" s="71">
        <f t="shared" si="3"/>
        <v>1.2630046583850931</v>
      </c>
      <c r="E16" s="71">
        <f t="shared" si="4"/>
        <v>1.5031314699792959</v>
      </c>
      <c r="F16" s="71">
        <f t="shared" si="5"/>
        <v>0.25469720496894416</v>
      </c>
      <c r="G16" s="71">
        <f t="shared" si="6"/>
        <v>0.50416666666666665</v>
      </c>
      <c r="H16" s="23">
        <f t="shared" si="0"/>
        <v>0.71631205673758869</v>
      </c>
      <c r="I16" s="23">
        <f t="shared" si="7"/>
        <v>0.35829919386811149</v>
      </c>
      <c r="J16" s="23">
        <f t="shared" si="8"/>
        <v>0.42642027517143144</v>
      </c>
      <c r="K16" s="23">
        <f t="shared" si="9"/>
        <v>7.2254526232324576E-2</v>
      </c>
      <c r="L16" s="23">
        <f t="shared" si="10"/>
        <v>0.14302600472813237</v>
      </c>
      <c r="M16" s="16">
        <f t="shared" si="11"/>
        <v>0</v>
      </c>
      <c r="N16" s="16">
        <f t="shared" si="12"/>
        <v>0</v>
      </c>
    </row>
    <row r="17" spans="1:14">
      <c r="A17" s="1">
        <v>1.2</v>
      </c>
      <c r="B17" s="1">
        <v>1</v>
      </c>
      <c r="C17" s="71">
        <f t="shared" si="2"/>
        <v>2.6749999999999998</v>
      </c>
      <c r="D17" s="71">
        <f t="shared" si="3"/>
        <v>1.3403817365269461</v>
      </c>
      <c r="E17" s="71">
        <f t="shared" si="4"/>
        <v>1.5221806387225547</v>
      </c>
      <c r="F17" s="71">
        <f t="shared" si="5"/>
        <v>0.28327095808383235</v>
      </c>
      <c r="G17" s="71">
        <f t="shared" si="6"/>
        <v>0.52916666666666667</v>
      </c>
      <c r="H17" s="23">
        <f t="shared" si="0"/>
        <v>0.72789115646258506</v>
      </c>
      <c r="I17" s="23">
        <f t="shared" si="7"/>
        <v>0.36472972422501937</v>
      </c>
      <c r="J17" s="23">
        <f t="shared" si="8"/>
        <v>0.41419881325783803</v>
      </c>
      <c r="K17" s="23">
        <f t="shared" si="9"/>
        <v>7.7080532811927172E-2</v>
      </c>
      <c r="L17" s="23">
        <f t="shared" si="10"/>
        <v>0.14399092970521543</v>
      </c>
      <c r="M17" s="16">
        <f t="shared" si="11"/>
        <v>0</v>
      </c>
      <c r="N17" s="16">
        <f t="shared" si="12"/>
        <v>0</v>
      </c>
    </row>
    <row r="18" spans="1:14">
      <c r="A18" s="1">
        <v>1.3</v>
      </c>
      <c r="B18" s="1">
        <v>1</v>
      </c>
      <c r="C18" s="71">
        <f t="shared" si="2"/>
        <v>2.8250000000000002</v>
      </c>
      <c r="D18" s="71">
        <f t="shared" si="3"/>
        <v>1.4167268786127172</v>
      </c>
      <c r="E18" s="71">
        <f t="shared" si="4"/>
        <v>1.5416425818882469</v>
      </c>
      <c r="F18" s="71">
        <f t="shared" si="5"/>
        <v>0.31246387283236998</v>
      </c>
      <c r="G18" s="71">
        <f t="shared" si="6"/>
        <v>0.5541666666666667</v>
      </c>
      <c r="H18" s="23">
        <f t="shared" si="0"/>
        <v>0.73856209150326801</v>
      </c>
      <c r="I18" s="23">
        <f t="shared" si="7"/>
        <v>0.37038611205561234</v>
      </c>
      <c r="J18" s="23">
        <f t="shared" si="8"/>
        <v>0.40304381225836516</v>
      </c>
      <c r="K18" s="23">
        <f t="shared" si="9"/>
        <v>8.168990139408365E-2</v>
      </c>
      <c r="L18" s="23">
        <f t="shared" si="10"/>
        <v>0.144880174291939</v>
      </c>
      <c r="M18" s="16">
        <f t="shared" si="11"/>
        <v>0</v>
      </c>
      <c r="N18" s="16">
        <f t="shared" si="12"/>
        <v>3.9968028886505635E-15</v>
      </c>
    </row>
    <row r="19" spans="1:14">
      <c r="A19" s="1">
        <v>1.4</v>
      </c>
      <c r="B19" s="1">
        <v>1</v>
      </c>
      <c r="C19" s="71">
        <f t="shared" si="2"/>
        <v>2.9749999999999996</v>
      </c>
      <c r="D19" s="71">
        <f t="shared" si="3"/>
        <v>1.4921438547486032</v>
      </c>
      <c r="E19" s="71">
        <f t="shared" si="4"/>
        <v>1.5614757914338917</v>
      </c>
      <c r="F19" s="71">
        <f t="shared" si="5"/>
        <v>0.34221368715083794</v>
      </c>
      <c r="G19" s="71">
        <f t="shared" si="6"/>
        <v>0.57916666666666661</v>
      </c>
      <c r="H19" s="23">
        <f t="shared" si="0"/>
        <v>0.74842767295597479</v>
      </c>
      <c r="I19" s="23">
        <f t="shared" si="7"/>
        <v>0.37538210182354803</v>
      </c>
      <c r="J19" s="23">
        <f t="shared" si="8"/>
        <v>0.39282409847393507</v>
      </c>
      <c r="K19" s="23">
        <f t="shared" si="9"/>
        <v>8.6091493622852316E-2</v>
      </c>
      <c r="L19" s="23">
        <f t="shared" si="10"/>
        <v>0.14570230607966456</v>
      </c>
      <c r="M19" s="16">
        <f t="shared" si="11"/>
        <v>0</v>
      </c>
      <c r="N19" s="16">
        <f t="shared" si="12"/>
        <v>0</v>
      </c>
    </row>
    <row r="20" spans="1:14">
      <c r="A20" s="1">
        <v>1.5</v>
      </c>
      <c r="B20" s="1">
        <v>1</v>
      </c>
      <c r="C20" s="71">
        <f t="shared" si="2"/>
        <v>3.125</v>
      </c>
      <c r="D20" s="71">
        <f t="shared" si="3"/>
        <v>1.566722972972973</v>
      </c>
      <c r="E20" s="71">
        <f t="shared" si="4"/>
        <v>1.5816441441441438</v>
      </c>
      <c r="F20" s="71">
        <f t="shared" si="5"/>
        <v>0.37246621621621623</v>
      </c>
      <c r="G20" s="71">
        <f t="shared" si="6"/>
        <v>0.60416666666666663</v>
      </c>
      <c r="H20" s="23">
        <f t="shared" si="0"/>
        <v>0.75757575757575757</v>
      </c>
      <c r="I20" s="23">
        <f t="shared" si="7"/>
        <v>0.3798116298116298</v>
      </c>
      <c r="J20" s="23">
        <f t="shared" si="8"/>
        <v>0.38342888342888332</v>
      </c>
      <c r="K20" s="23">
        <f t="shared" si="9"/>
        <v>9.0294840294840292E-2</v>
      </c>
      <c r="L20" s="23">
        <f t="shared" si="10"/>
        <v>0.14646464646464646</v>
      </c>
      <c r="M20" s="16">
        <f t="shared" si="11"/>
        <v>0</v>
      </c>
      <c r="N20" s="16">
        <f t="shared" si="12"/>
        <v>0</v>
      </c>
    </row>
    <row r="21" spans="1:14">
      <c r="A21" s="1">
        <v>2</v>
      </c>
      <c r="B21" s="1">
        <v>1</v>
      </c>
      <c r="C21" s="71">
        <f t="shared" si="2"/>
        <v>3.875</v>
      </c>
      <c r="D21" s="71">
        <f t="shared" si="3"/>
        <v>1.929505813953488</v>
      </c>
      <c r="E21" s="71">
        <f t="shared" si="4"/>
        <v>1.6865310077519375</v>
      </c>
      <c r="F21" s="71">
        <f t="shared" si="5"/>
        <v>0.52979651162790697</v>
      </c>
      <c r="G21" s="71">
        <f t="shared" si="6"/>
        <v>0.72916666666666663</v>
      </c>
      <c r="H21" s="23">
        <f t="shared" si="0"/>
        <v>0.79487179487179482</v>
      </c>
      <c r="I21" s="23">
        <f t="shared" si="7"/>
        <v>0.39579606440071546</v>
      </c>
      <c r="J21" s="23">
        <f t="shared" si="8"/>
        <v>0.34595507851321794</v>
      </c>
      <c r="K21" s="23">
        <f t="shared" si="9"/>
        <v>0.10867620751341682</v>
      </c>
      <c r="L21" s="23">
        <f t="shared" si="10"/>
        <v>0.14957264957264957</v>
      </c>
      <c r="M21" s="16">
        <f t="shared" si="11"/>
        <v>-8.8817841970012523E-16</v>
      </c>
      <c r="N21" s="16">
        <f t="shared" si="12"/>
        <v>-4.4408920985006262E-15</v>
      </c>
    </row>
  </sheetData>
  <mergeCells count="1">
    <mergeCell ref="A3:G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3D57C0-2CC2-FE41-808F-F98D61F60495}">
  <dimension ref="A2:P21"/>
  <sheetViews>
    <sheetView workbookViewId="0">
      <selection activeCell="Q29" sqref="Q29"/>
    </sheetView>
  </sheetViews>
  <sheetFormatPr baseColWidth="10" defaultRowHeight="16"/>
  <cols>
    <col min="1" max="1" width="5.1640625" bestFit="1" customWidth="1" collapsed="1"/>
    <col min="7" max="7" width="13.1640625" bestFit="1" customWidth="1" collapsed="1"/>
    <col min="8" max="8" width="10.5" bestFit="1" customWidth="1" collapsed="1"/>
    <col min="9" max="11" width="12.1640625" customWidth="1" collapsed="1"/>
    <col min="12" max="12" width="12.6640625" customWidth="1" collapsed="1"/>
    <col min="13" max="13" width="11.5" customWidth="1" collapsed="1"/>
    <col min="14" max="14" width="5.33203125" bestFit="1" customWidth="1" collapsed="1"/>
  </cols>
  <sheetData>
    <row r="2" spans="1:16">
      <c r="A2" s="14"/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</row>
    <row r="3" spans="1:16">
      <c r="A3" s="14"/>
      <c r="B3" s="89" t="s">
        <v>121</v>
      </c>
      <c r="C3" s="89"/>
      <c r="D3" s="89"/>
      <c r="E3" s="89"/>
      <c r="F3" s="89"/>
      <c r="G3" s="89"/>
      <c r="H3" s="89"/>
      <c r="I3" s="89"/>
      <c r="J3" s="89"/>
      <c r="K3" s="89"/>
      <c r="L3" s="14"/>
      <c r="M3" s="89"/>
    </row>
    <row r="4" spans="1:16" ht="51">
      <c r="A4" s="14" t="s">
        <v>17</v>
      </c>
      <c r="B4" s="13" t="s">
        <v>70</v>
      </c>
      <c r="C4" s="13" t="s">
        <v>120</v>
      </c>
      <c r="D4" s="13" t="s">
        <v>90</v>
      </c>
      <c r="E4" s="13" t="s">
        <v>91</v>
      </c>
      <c r="F4" s="13" t="s">
        <v>92</v>
      </c>
      <c r="G4" s="13" t="s">
        <v>93</v>
      </c>
      <c r="H4" s="13" t="s">
        <v>123</v>
      </c>
      <c r="I4" s="13" t="s">
        <v>64</v>
      </c>
      <c r="J4" s="13" t="s">
        <v>65</v>
      </c>
      <c r="K4" s="13" t="s">
        <v>66</v>
      </c>
      <c r="L4" s="13" t="s">
        <v>72</v>
      </c>
      <c r="M4" s="13" t="s">
        <v>67</v>
      </c>
      <c r="N4" s="13" t="s">
        <v>8</v>
      </c>
      <c r="O4" s="13" t="s">
        <v>9</v>
      </c>
      <c r="P4" s="21" t="s">
        <v>11</v>
      </c>
    </row>
    <row r="5" spans="1:16">
      <c r="A5" s="113" t="s">
        <v>122</v>
      </c>
      <c r="B5" s="113"/>
      <c r="C5" s="90">
        <v>1</v>
      </c>
      <c r="D5" s="90">
        <v>0.5</v>
      </c>
      <c r="E5" s="90">
        <v>0</v>
      </c>
      <c r="F5" s="91">
        <f>4/3</f>
        <v>1.3333333333333333</v>
      </c>
      <c r="G5" s="90">
        <v>0</v>
      </c>
      <c r="H5" s="91">
        <f>+C5+D5-E5-F5-G5</f>
        <v>0.16666666666666674</v>
      </c>
      <c r="I5" s="92">
        <f t="shared" ref="I5:I21" si="0">D5/(D5+C5)</f>
        <v>0.33333333333333331</v>
      </c>
      <c r="J5" s="91">
        <f t="shared" ref="J5" si="1">E5/(D5+C5)</f>
        <v>0</v>
      </c>
      <c r="K5" s="91">
        <f t="shared" ref="K5" si="2">F5/(C5+D5)</f>
        <v>0.88888888888888884</v>
      </c>
      <c r="L5" s="91">
        <f t="shared" ref="L5" si="3">G5/(C5+D5)</f>
        <v>0</v>
      </c>
      <c r="M5" s="92">
        <f t="shared" ref="M5" si="4">H5/(D5+C5)</f>
        <v>0.11111111111111116</v>
      </c>
      <c r="N5" s="92">
        <f>-C5-D5+E5+F5+G5+H5</f>
        <v>0</v>
      </c>
      <c r="O5" s="94">
        <f>-4*C5-4*D5+24/5*E5+18/4*F5+30/6*G5</f>
        <v>0</v>
      </c>
      <c r="P5" s="94" t="e">
        <f>+O5/N5</f>
        <v>#DIV/0!</v>
      </c>
    </row>
    <row r="6" spans="1:16">
      <c r="A6" s="14">
        <v>5</v>
      </c>
      <c r="B6" s="23">
        <f>0.16*A6-0.7985</f>
        <v>1.5000000000000568E-3</v>
      </c>
      <c r="C6" s="1">
        <v>1</v>
      </c>
      <c r="D6" s="71">
        <f>+(1+B6*2)</f>
        <v>1.0030000000000001</v>
      </c>
      <c r="E6" s="71">
        <f>2.5*((9/6+2*B6/3)^2)*(1/6+2*B6/3)/(5/3+4*B6/3)</f>
        <v>0.56595061076707964</v>
      </c>
      <c r="F6" s="71">
        <f>((9/6+2*B6/3)^2)/(5/3+4*B6/3)</f>
        <v>1.3501803835397523</v>
      </c>
      <c r="G6" s="71">
        <f>1.5*((1/6+2*B6/3)^2)/(5/3+4*B6/3)</f>
        <v>2.5270575309628451E-2</v>
      </c>
      <c r="H6" s="88">
        <f>+C6+D6-E6-F6-G6</f>
        <v>6.1598430383539793E-2</v>
      </c>
      <c r="I6" s="23">
        <f t="shared" si="0"/>
        <v>0.50074887668497259</v>
      </c>
      <c r="J6" s="71">
        <f>E6/(D6+C6)</f>
        <v>0.28255147816629039</v>
      </c>
      <c r="K6" s="71">
        <f>F6/(C6+D6)</f>
        <v>0.67407907316013593</v>
      </c>
      <c r="L6" s="71">
        <f>G6/(C6+D6)</f>
        <v>1.2616363110149001E-2</v>
      </c>
      <c r="M6" s="23">
        <f>H6/(D6+C6)</f>
        <v>3.0753085563424758E-2</v>
      </c>
      <c r="N6" s="23">
        <f t="shared" ref="N6:N21" si="5">-C6-D6+E6+F6+G6+H6</f>
        <v>0</v>
      </c>
      <c r="O6" s="23">
        <f t="shared" ref="O6" si="6">-4*C6-4*D6+24/5*E6+18/4*F6+30/6*G6</f>
        <v>0.90672753415901042</v>
      </c>
      <c r="P6" s="23" t="e">
        <f t="shared" ref="P6" si="7">+O6/N6</f>
        <v>#DIV/0!</v>
      </c>
    </row>
    <row r="7" spans="1:16">
      <c r="A7" s="14">
        <v>5.25</v>
      </c>
      <c r="B7" s="23">
        <f t="shared" ref="B7:B21" si="8">0.16*A7-0.7985</f>
        <v>4.1499999999999981E-2</v>
      </c>
      <c r="C7" s="1">
        <v>1</v>
      </c>
      <c r="D7" s="71">
        <f t="shared" ref="D7:D21" si="9">+(1+B7*2)</f>
        <v>1.083</v>
      </c>
      <c r="E7" s="71">
        <f t="shared" ref="E7:E21" si="10">2.5*((9/6+2*B7/3)^2)*(1/6+2*B7/3)/(5/3+4*B7/3)</f>
        <v>0.65843266265539635</v>
      </c>
      <c r="F7" s="71">
        <f t="shared" ref="F7:F21" si="11">((9/6+2*B7/3)^2)/(5/3+4*B7/3)</f>
        <v>1.3552644857400955</v>
      </c>
      <c r="G7" s="71">
        <f t="shared" ref="G7:G21" si="12">1.5*((1/6+2*B7/3)^2)/(5/3+4*B7/3)</f>
        <v>3.2896728610143235E-2</v>
      </c>
      <c r="H7" s="88">
        <f t="shared" ref="H7:H21" si="13">+C7+D7-E7-F7-G7</f>
        <v>3.6406122994365207E-2</v>
      </c>
      <c r="I7" s="23">
        <f t="shared" si="0"/>
        <v>0.51992318771003354</v>
      </c>
      <c r="J7" s="71">
        <f t="shared" ref="J7:J21" si="14">E7/(D7+C7)</f>
        <v>0.31609825379519746</v>
      </c>
      <c r="K7" s="71">
        <f t="shared" ref="K7:K21" si="15">F7/(C7+D7)</f>
        <v>0.65063105412390565</v>
      </c>
      <c r="L7" s="71">
        <f t="shared" ref="L7:L21" si="16">G7/(C7+D7)</f>
        <v>1.5792956605925699E-2</v>
      </c>
      <c r="M7" s="23">
        <f t="shared" ref="M7:M21" si="17">H7/(D7+C7)</f>
        <v>1.7477735474971293E-2</v>
      </c>
      <c r="N7" s="23">
        <f t="shared" si="5"/>
        <v>0</v>
      </c>
      <c r="O7" s="23">
        <f t="shared" ref="O7:O21" si="18">-4*C7-4*D7+24/5*E7+18/4*F7+30/6*G7</f>
        <v>1.0916506096270477</v>
      </c>
      <c r="P7" s="23" t="e">
        <f t="shared" ref="P7:P21" si="19">+O7/N7</f>
        <v>#DIV/0!</v>
      </c>
    </row>
    <row r="8" spans="1:16">
      <c r="A8" s="14">
        <v>5.5</v>
      </c>
      <c r="B8" s="23">
        <f t="shared" si="8"/>
        <v>8.1500000000000017E-2</v>
      </c>
      <c r="C8" s="1">
        <v>1</v>
      </c>
      <c r="D8" s="71">
        <f t="shared" si="9"/>
        <v>1.163</v>
      </c>
      <c r="E8" s="71">
        <f t="shared" si="10"/>
        <v>0.75186643337714354</v>
      </c>
      <c r="F8" s="71">
        <f t="shared" si="11"/>
        <v>1.3608442233070472</v>
      </c>
      <c r="G8" s="71">
        <f t="shared" si="12"/>
        <v>4.1266334960570784E-2</v>
      </c>
      <c r="H8" s="88">
        <f t="shared" si="13"/>
        <v>9.0230083552385806E-3</v>
      </c>
      <c r="I8" s="23">
        <f t="shared" si="0"/>
        <v>0.53767914932963468</v>
      </c>
      <c r="J8" s="71">
        <f t="shared" si="14"/>
        <v>0.34760352906941444</v>
      </c>
      <c r="K8" s="71">
        <f t="shared" si="15"/>
        <v>0.62914665894916644</v>
      </c>
      <c r="L8" s="71">
        <f t="shared" si="16"/>
        <v>1.9078287083019316E-2</v>
      </c>
      <c r="M8" s="23">
        <f t="shared" si="17"/>
        <v>4.1715248983997134E-3</v>
      </c>
      <c r="N8" s="23">
        <f t="shared" si="5"/>
        <v>0</v>
      </c>
      <c r="O8" s="23">
        <f t="shared" si="18"/>
        <v>1.2870895598948546</v>
      </c>
      <c r="P8" s="23" t="e">
        <f t="shared" si="19"/>
        <v>#DIV/0!</v>
      </c>
    </row>
    <row r="9" spans="1:16">
      <c r="A9" s="14">
        <v>5.75</v>
      </c>
      <c r="B9" s="23">
        <f t="shared" si="8"/>
        <v>0.12150000000000005</v>
      </c>
      <c r="C9" s="1">
        <v>1</v>
      </c>
      <c r="D9" s="71">
        <f t="shared" si="9"/>
        <v>1.2430000000000001</v>
      </c>
      <c r="E9" s="71">
        <f t="shared" si="10"/>
        <v>0.84632419932555591</v>
      </c>
      <c r="F9" s="71">
        <f t="shared" si="11"/>
        <v>1.3668762304046662</v>
      </c>
      <c r="G9" s="71">
        <f t="shared" si="12"/>
        <v>5.0314345606999648E-2</v>
      </c>
      <c r="H9" s="88">
        <f t="shared" si="13"/>
        <v>-2.0514775337221451E-2</v>
      </c>
      <c r="I9" s="23">
        <f t="shared" si="0"/>
        <v>0.55416852429781538</v>
      </c>
      <c r="J9" s="71">
        <f t="shared" si="14"/>
        <v>0.37731796670778234</v>
      </c>
      <c r="K9" s="71">
        <f t="shared" si="15"/>
        <v>0.60939644690355155</v>
      </c>
      <c r="L9" s="71">
        <f t="shared" si="16"/>
        <v>2.2431718950958378E-2</v>
      </c>
      <c r="M9" s="23">
        <f t="shared" si="17"/>
        <v>-9.1461325622922193E-3</v>
      </c>
      <c r="N9" s="23">
        <f t="shared" si="5"/>
        <v>0</v>
      </c>
      <c r="O9" s="23">
        <f t="shared" si="18"/>
        <v>1.4928709216186626</v>
      </c>
      <c r="P9" s="23" t="e">
        <f t="shared" si="19"/>
        <v>#DIV/0!</v>
      </c>
    </row>
    <row r="10" spans="1:16">
      <c r="A10" s="14">
        <v>6</v>
      </c>
      <c r="B10" s="23">
        <f t="shared" si="8"/>
        <v>0.16149999999999998</v>
      </c>
      <c r="C10" s="1">
        <v>1</v>
      </c>
      <c r="D10" s="71">
        <f t="shared" si="9"/>
        <v>1.323</v>
      </c>
      <c r="E10" s="71">
        <f t="shared" si="10"/>
        <v>0.94187004403314012</v>
      </c>
      <c r="F10" s="71">
        <f t="shared" si="11"/>
        <v>1.3733220569134488</v>
      </c>
      <c r="G10" s="71">
        <f t="shared" si="12"/>
        <v>5.9983085370173564E-2</v>
      </c>
      <c r="H10" s="88">
        <f t="shared" si="13"/>
        <v>-5.2175186316762392E-2</v>
      </c>
      <c r="I10" s="23">
        <f t="shared" si="0"/>
        <v>0.56952216960826518</v>
      </c>
      <c r="J10" s="71">
        <f t="shared" si="14"/>
        <v>0.4054541730663539</v>
      </c>
      <c r="K10" s="71">
        <f t="shared" si="15"/>
        <v>0.59118469948921604</v>
      </c>
      <c r="L10" s="71">
        <f t="shared" si="16"/>
        <v>2.5821388450354525E-2</v>
      </c>
      <c r="M10" s="23">
        <f t="shared" si="17"/>
        <v>-2.2460261005924406E-2</v>
      </c>
      <c r="N10" s="23">
        <f t="shared" si="5"/>
        <v>0</v>
      </c>
      <c r="O10" s="23">
        <f t="shared" si="18"/>
        <v>1.7088408943204598</v>
      </c>
      <c r="P10" s="23" t="e">
        <f t="shared" si="19"/>
        <v>#DIV/0!</v>
      </c>
    </row>
    <row r="11" spans="1:16">
      <c r="A11" s="14">
        <v>6.25</v>
      </c>
      <c r="B11" s="23">
        <f t="shared" si="8"/>
        <v>0.20150000000000001</v>
      </c>
      <c r="C11" s="1">
        <v>1</v>
      </c>
      <c r="D11" s="71">
        <f t="shared" si="9"/>
        <v>1.403</v>
      </c>
      <c r="E11" s="71">
        <f t="shared" si="10"/>
        <v>1.0385609870536228</v>
      </c>
      <c r="F11" s="71">
        <f t="shared" si="11"/>
        <v>1.3801474911011598</v>
      </c>
      <c r="G11" s="71">
        <f t="shared" si="12"/>
        <v>7.0221236651739571E-2</v>
      </c>
      <c r="H11" s="88">
        <f t="shared" si="13"/>
        <v>-8.5929714806522062E-2</v>
      </c>
      <c r="I11" s="23">
        <f t="shared" si="0"/>
        <v>0.58385351643778616</v>
      </c>
      <c r="J11" s="71">
        <f t="shared" si="14"/>
        <v>0.43219350272726709</v>
      </c>
      <c r="K11" s="71">
        <f t="shared" si="15"/>
        <v>0.57434352521895948</v>
      </c>
      <c r="L11" s="71">
        <f t="shared" si="16"/>
        <v>2.9222320704011474E-2</v>
      </c>
      <c r="M11" s="23">
        <f t="shared" si="17"/>
        <v>-3.5759348650238061E-2</v>
      </c>
      <c r="N11" s="23">
        <f t="shared" si="5"/>
        <v>0</v>
      </c>
      <c r="O11" s="23">
        <f t="shared" si="18"/>
        <v>1.9348626310713055</v>
      </c>
      <c r="P11" s="23" t="e">
        <f t="shared" si="19"/>
        <v>#DIV/0!</v>
      </c>
    </row>
    <row r="12" spans="1:16">
      <c r="A12" s="14">
        <v>6.5</v>
      </c>
      <c r="B12" s="23">
        <f t="shared" si="8"/>
        <v>0.24150000000000005</v>
      </c>
      <c r="C12" s="1">
        <v>1</v>
      </c>
      <c r="D12" s="71">
        <f t="shared" si="9"/>
        <v>1.4830000000000001</v>
      </c>
      <c r="E12" s="71">
        <f t="shared" si="10"/>
        <v>1.1364479311934292</v>
      </c>
      <c r="F12" s="71">
        <f t="shared" si="11"/>
        <v>1.3873219912839423</v>
      </c>
      <c r="G12" s="71">
        <f t="shared" si="12"/>
        <v>8.0982986925913505E-2</v>
      </c>
      <c r="H12" s="88">
        <f t="shared" si="13"/>
        <v>-0.12175290940328494</v>
      </c>
      <c r="I12" s="23">
        <f t="shared" si="0"/>
        <v>0.59726137736608942</v>
      </c>
      <c r="J12" s="71">
        <f t="shared" si="14"/>
        <v>0.45769147450399889</v>
      </c>
      <c r="K12" s="71">
        <f t="shared" si="15"/>
        <v>0.55872814791942904</v>
      </c>
      <c r="L12" s="71">
        <f t="shared" si="16"/>
        <v>3.2614976611322392E-2</v>
      </c>
      <c r="M12" s="23">
        <f t="shared" si="17"/>
        <v>-4.9034599034750277E-2</v>
      </c>
      <c r="N12" s="23">
        <f>-C12-D12+E12+F12+G12+H12</f>
        <v>0</v>
      </c>
      <c r="O12" s="23">
        <f t="shared" si="18"/>
        <v>2.1708139651357676</v>
      </c>
      <c r="P12" s="23" t="e">
        <f t="shared" si="19"/>
        <v>#DIV/0!</v>
      </c>
    </row>
    <row r="13" spans="1:16">
      <c r="A13" s="14">
        <v>6.75</v>
      </c>
      <c r="B13" s="23">
        <f t="shared" si="8"/>
        <v>0.28150000000000008</v>
      </c>
      <c r="C13" s="1">
        <v>1</v>
      </c>
      <c r="D13" s="71">
        <f>+(1+B13*2)</f>
        <v>1.5630000000000002</v>
      </c>
      <c r="E13" s="71">
        <f t="shared" si="10"/>
        <v>1.23557646130337</v>
      </c>
      <c r="F13" s="71">
        <f t="shared" si="11"/>
        <v>1.3948182065513113</v>
      </c>
      <c r="G13" s="71">
        <f t="shared" si="12"/>
        <v>9.222730982696703E-2</v>
      </c>
      <c r="H13" s="88">
        <f t="shared" si="13"/>
        <v>-0.1596219776816481</v>
      </c>
      <c r="I13" s="23">
        <f t="shared" si="0"/>
        <v>0.60983222785797897</v>
      </c>
      <c r="J13" s="71">
        <f t="shared" si="14"/>
        <v>0.48208211521785793</v>
      </c>
      <c r="K13" s="71">
        <f t="shared" si="15"/>
        <v>0.54421311219325441</v>
      </c>
      <c r="L13" s="71">
        <f t="shared" si="16"/>
        <v>3.5984124005839647E-2</v>
      </c>
      <c r="M13" s="23">
        <f t="shared" si="17"/>
        <v>-6.2279351416952046E-2</v>
      </c>
      <c r="N13" s="23">
        <f t="shared" si="5"/>
        <v>0</v>
      </c>
      <c r="O13" s="23">
        <f t="shared" si="18"/>
        <v>2.4165854928719108</v>
      </c>
      <c r="P13" s="23" t="e">
        <f t="shared" si="19"/>
        <v>#DIV/0!</v>
      </c>
    </row>
    <row r="14" spans="1:16">
      <c r="A14" s="14">
        <v>7</v>
      </c>
      <c r="B14" s="23">
        <f t="shared" si="8"/>
        <v>0.32150000000000012</v>
      </c>
      <c r="C14" s="1">
        <v>1</v>
      </c>
      <c r="D14" s="71">
        <f t="shared" si="9"/>
        <v>1.6430000000000002</v>
      </c>
      <c r="E14" s="71">
        <f t="shared" si="10"/>
        <v>1.3359875210785876</v>
      </c>
      <c r="F14" s="71">
        <f t="shared" si="11"/>
        <v>1.4026115706861813</v>
      </c>
      <c r="G14" s="71">
        <f t="shared" si="12"/>
        <v>0.10391735602927142</v>
      </c>
      <c r="H14" s="88">
        <f t="shared" si="13"/>
        <v>-0.1995164477940401</v>
      </c>
      <c r="I14" s="23">
        <f t="shared" si="0"/>
        <v>0.62164207340143784</v>
      </c>
      <c r="J14" s="71">
        <f t="shared" si="14"/>
        <v>0.50548146843684738</v>
      </c>
      <c r="K14" s="71">
        <f t="shared" si="15"/>
        <v>0.53068920570797617</v>
      </c>
      <c r="L14" s="71">
        <f t="shared" si="16"/>
        <v>3.931795536483973E-2</v>
      </c>
      <c r="M14" s="23">
        <f t="shared" si="17"/>
        <v>-7.5488629509663285E-2</v>
      </c>
      <c r="N14" s="23">
        <f t="shared" si="5"/>
        <v>0</v>
      </c>
      <c r="O14" s="23">
        <f t="shared" si="18"/>
        <v>2.6720789494113926</v>
      </c>
      <c r="P14" s="23" t="e">
        <f t="shared" si="19"/>
        <v>#DIV/0!</v>
      </c>
    </row>
    <row r="15" spans="1:16">
      <c r="A15" s="14">
        <v>7.25</v>
      </c>
      <c r="B15" s="23">
        <f t="shared" si="8"/>
        <v>0.36149999999999993</v>
      </c>
      <c r="C15" s="1">
        <v>1</v>
      </c>
      <c r="D15" s="71">
        <f t="shared" si="9"/>
        <v>1.7229999999999999</v>
      </c>
      <c r="E15" s="71">
        <f t="shared" si="10"/>
        <v>1.4377179890629843</v>
      </c>
      <c r="F15" s="71">
        <f t="shared" si="11"/>
        <v>1.4106799565622088</v>
      </c>
      <c r="G15" s="71">
        <f t="shared" si="12"/>
        <v>0.11601993484331365</v>
      </c>
      <c r="H15" s="88">
        <f t="shared" si="13"/>
        <v>-0.24141788046850687</v>
      </c>
      <c r="I15" s="23">
        <f t="shared" si="0"/>
        <v>0.63275798751377155</v>
      </c>
      <c r="J15" s="71">
        <f t="shared" si="14"/>
        <v>0.52799044769114378</v>
      </c>
      <c r="K15" s="71">
        <f t="shared" si="15"/>
        <v>0.51806094622189092</v>
      </c>
      <c r="L15" s="71">
        <f t="shared" si="16"/>
        <v>4.2607394360379601E-2</v>
      </c>
      <c r="M15" s="23">
        <f t="shared" si="17"/>
        <v>-8.865878827341421E-2</v>
      </c>
      <c r="N15" s="23">
        <f t="shared" si="5"/>
        <v>0</v>
      </c>
      <c r="O15" s="23">
        <f t="shared" si="18"/>
        <v>2.9372058262488334</v>
      </c>
      <c r="P15" s="23" t="e">
        <f t="shared" si="19"/>
        <v>#DIV/0!</v>
      </c>
    </row>
    <row r="16" spans="1:16">
      <c r="A16" s="14">
        <v>7.5</v>
      </c>
      <c r="B16" s="23">
        <f t="shared" si="8"/>
        <v>0.40149999999999997</v>
      </c>
      <c r="C16" s="1">
        <v>1</v>
      </c>
      <c r="D16" s="71">
        <f t="shared" si="9"/>
        <v>1.8029999999999999</v>
      </c>
      <c r="E16" s="71">
        <f t="shared" si="10"/>
        <v>1.5408011709472871</v>
      </c>
      <c r="F16" s="71">
        <f t="shared" si="11"/>
        <v>1.4190033807649611</v>
      </c>
      <c r="G16" s="71">
        <f t="shared" si="12"/>
        <v>0.12850507114744172</v>
      </c>
      <c r="H16" s="88">
        <f t="shared" si="13"/>
        <v>-0.28530962285968997</v>
      </c>
      <c r="I16" s="23">
        <f t="shared" si="0"/>
        <v>0.6432393863717446</v>
      </c>
      <c r="J16" s="71">
        <f t="shared" si="14"/>
        <v>0.54969717122628869</v>
      </c>
      <c r="K16" s="71">
        <f t="shared" si="15"/>
        <v>0.50624451686227656</v>
      </c>
      <c r="L16" s="71">
        <f t="shared" si="16"/>
        <v>4.5845548036903931E-2</v>
      </c>
      <c r="M16" s="23">
        <f t="shared" si="17"/>
        <v>-0.10178723612546914</v>
      </c>
      <c r="N16" s="23">
        <f t="shared" si="5"/>
        <v>0</v>
      </c>
      <c r="O16" s="23">
        <f t="shared" si="18"/>
        <v>3.2118861897265116</v>
      </c>
      <c r="P16" s="23" t="e">
        <f t="shared" si="19"/>
        <v>#DIV/0!</v>
      </c>
    </row>
    <row r="17" spans="1:16">
      <c r="A17" s="14">
        <v>7.75</v>
      </c>
      <c r="B17" s="23">
        <f t="shared" si="8"/>
        <v>0.4415</v>
      </c>
      <c r="C17" s="1">
        <v>1</v>
      </c>
      <c r="D17" s="71">
        <f t="shared" si="9"/>
        <v>1.883</v>
      </c>
      <c r="E17" s="71">
        <f t="shared" si="10"/>
        <v>1.6452672220169471</v>
      </c>
      <c r="F17" s="71">
        <f t="shared" si="11"/>
        <v>1.4275637501231646</v>
      </c>
      <c r="G17" s="71">
        <f t="shared" si="12"/>
        <v>0.14134562518474722</v>
      </c>
      <c r="H17" s="88">
        <f t="shared" si="13"/>
        <v>-0.33117659732485893</v>
      </c>
      <c r="I17" s="23">
        <f t="shared" si="0"/>
        <v>0.65313909122441904</v>
      </c>
      <c r="J17" s="71">
        <f t="shared" si="14"/>
        <v>0.57067888380747389</v>
      </c>
      <c r="K17" s="71">
        <f t="shared" si="15"/>
        <v>0.49516605970279731</v>
      </c>
      <c r="L17" s="71">
        <f t="shared" si="16"/>
        <v>4.902727200303407E-2</v>
      </c>
      <c r="M17" s="23">
        <f t="shared" si="17"/>
        <v>-0.11487221551330522</v>
      </c>
      <c r="N17" s="23">
        <f t="shared" si="5"/>
        <v>0</v>
      </c>
      <c r="O17" s="23">
        <f t="shared" si="18"/>
        <v>3.4960476671593224</v>
      </c>
      <c r="P17" s="23" t="e">
        <f t="shared" si="19"/>
        <v>#DIV/0!</v>
      </c>
    </row>
    <row r="18" spans="1:16">
      <c r="A18" s="14">
        <v>8</v>
      </c>
      <c r="B18" s="23">
        <f t="shared" si="8"/>
        <v>0.48150000000000004</v>
      </c>
      <c r="C18" s="1">
        <v>1</v>
      </c>
      <c r="D18" s="71">
        <f t="shared" si="9"/>
        <v>1.9630000000000001</v>
      </c>
      <c r="E18" s="71">
        <f t="shared" si="10"/>
        <v>1.7511435110453364</v>
      </c>
      <c r="F18" s="71">
        <f t="shared" si="11"/>
        <v>1.436344643372798</v>
      </c>
      <c r="G18" s="71">
        <f t="shared" si="12"/>
        <v>0.15451696505919721</v>
      </c>
      <c r="H18" s="88">
        <f t="shared" si="13"/>
        <v>-0.37900511947733151</v>
      </c>
      <c r="I18" s="23">
        <f t="shared" si="0"/>
        <v>0.66250421869726628</v>
      </c>
      <c r="J18" s="71">
        <f t="shared" si="14"/>
        <v>0.59100354743345807</v>
      </c>
      <c r="K18" s="71">
        <f t="shared" si="15"/>
        <v>0.48476025763509889</v>
      </c>
      <c r="L18" s="71">
        <f t="shared" si="16"/>
        <v>5.2148823847180968E-2</v>
      </c>
      <c r="M18" s="23">
        <f t="shared" si="17"/>
        <v>-0.12791262891573793</v>
      </c>
      <c r="N18" s="23">
        <f t="shared" si="5"/>
        <v>0</v>
      </c>
      <c r="O18" s="23">
        <f t="shared" si="18"/>
        <v>3.7896245734911909</v>
      </c>
      <c r="P18" s="23" t="e">
        <f t="shared" si="19"/>
        <v>#DIV/0!</v>
      </c>
    </row>
    <row r="19" spans="1:16">
      <c r="A19" s="14">
        <v>8.25</v>
      </c>
      <c r="B19" s="23">
        <f t="shared" si="8"/>
        <v>0.52150000000000007</v>
      </c>
      <c r="C19" s="1">
        <v>1</v>
      </c>
      <c r="D19" s="71">
        <f t="shared" si="9"/>
        <v>2.0430000000000001</v>
      </c>
      <c r="E19" s="71">
        <f t="shared" si="10"/>
        <v>1.8584549348872585</v>
      </c>
      <c r="F19" s="71">
        <f t="shared" si="11"/>
        <v>1.4453311224009786</v>
      </c>
      <c r="G19" s="71">
        <f t="shared" si="12"/>
        <v>0.16799668360146772</v>
      </c>
      <c r="H19" s="88">
        <f t="shared" si="13"/>
        <v>-0.42878274088970469</v>
      </c>
      <c r="I19" s="23">
        <f t="shared" si="0"/>
        <v>0.67137693066053239</v>
      </c>
      <c r="J19" s="71">
        <f t="shared" si="14"/>
        <v>0.6107311649317313</v>
      </c>
      <c r="K19" s="71">
        <f t="shared" si="15"/>
        <v>0.47496914965526732</v>
      </c>
      <c r="L19" s="71">
        <f t="shared" si="16"/>
        <v>5.5207585803965731E-2</v>
      </c>
      <c r="M19" s="23">
        <f t="shared" si="17"/>
        <v>-0.1409079003909644</v>
      </c>
      <c r="N19" s="23">
        <f t="shared" si="5"/>
        <v>0</v>
      </c>
      <c r="O19" s="23">
        <f t="shared" si="18"/>
        <v>4.0925571562705825</v>
      </c>
      <c r="P19" s="23" t="e">
        <f t="shared" si="19"/>
        <v>#DIV/0!</v>
      </c>
    </row>
    <row r="20" spans="1:16">
      <c r="A20" s="14">
        <v>8.5</v>
      </c>
      <c r="B20" s="23">
        <f t="shared" si="8"/>
        <v>0.56150000000000011</v>
      </c>
      <c r="C20" s="1">
        <v>1</v>
      </c>
      <c r="D20" s="71">
        <f t="shared" si="9"/>
        <v>2.1230000000000002</v>
      </c>
      <c r="E20" s="71">
        <f t="shared" si="10"/>
        <v>1.9672241913929527</v>
      </c>
      <c r="F20" s="71">
        <f t="shared" si="11"/>
        <v>1.4545095684975617</v>
      </c>
      <c r="G20" s="71">
        <f t="shared" si="12"/>
        <v>0.18176435274634281</v>
      </c>
      <c r="H20" s="88">
        <f t="shared" si="13"/>
        <v>-0.48049811263685704</v>
      </c>
      <c r="I20" s="23">
        <f t="shared" si="0"/>
        <v>0.67979506884406027</v>
      </c>
      <c r="J20" s="71">
        <f t="shared" si="14"/>
        <v>0.62991488677327967</v>
      </c>
      <c r="K20" s="71">
        <f t="shared" si="15"/>
        <v>0.46574113624641744</v>
      </c>
      <c r="L20" s="71">
        <f t="shared" si="16"/>
        <v>5.8201842057746651E-2</v>
      </c>
      <c r="M20" s="23">
        <f t="shared" si="17"/>
        <v>-0.15385786507744381</v>
      </c>
      <c r="N20" s="23">
        <f t="shared" si="5"/>
        <v>0</v>
      </c>
      <c r="O20" s="23">
        <f t="shared" si="18"/>
        <v>4.4047909406569135</v>
      </c>
      <c r="P20" s="23" t="e">
        <f t="shared" si="19"/>
        <v>#DIV/0!</v>
      </c>
    </row>
    <row r="21" spans="1:16">
      <c r="A21" s="14">
        <v>8.75</v>
      </c>
      <c r="B21" s="23">
        <f t="shared" si="8"/>
        <v>0.60150000000000015</v>
      </c>
      <c r="C21" s="1">
        <v>1</v>
      </c>
      <c r="D21" s="71">
        <f t="shared" si="9"/>
        <v>2.2030000000000003</v>
      </c>
      <c r="E21" s="71">
        <f t="shared" si="10"/>
        <v>2.0774720169457197</v>
      </c>
      <c r="F21" s="71">
        <f t="shared" si="11"/>
        <v>1.463867539832568</v>
      </c>
      <c r="G21" s="71">
        <f t="shared" si="12"/>
        <v>0.19580130974885232</v>
      </c>
      <c r="H21" s="88">
        <f t="shared" si="13"/>
        <v>-0.53414086652713977</v>
      </c>
      <c r="I21" s="23">
        <f t="shared" si="0"/>
        <v>0.68779269434904777</v>
      </c>
      <c r="J21" s="71">
        <f t="shared" si="14"/>
        <v>0.64860194097587243</v>
      </c>
      <c r="K21" s="71">
        <f t="shared" si="15"/>
        <v>0.45703014044101403</v>
      </c>
      <c r="L21" s="71">
        <f t="shared" si="16"/>
        <v>6.1130599359616705E-2</v>
      </c>
      <c r="M21" s="23">
        <f t="shared" si="17"/>
        <v>-0.16676268077650319</v>
      </c>
      <c r="N21" s="23">
        <f t="shared" si="5"/>
        <v>0</v>
      </c>
      <c r="O21" s="23">
        <f t="shared" si="18"/>
        <v>4.7262761593302702</v>
      </c>
      <c r="P21" s="23" t="e">
        <f t="shared" si="19"/>
        <v>#DIV/0!</v>
      </c>
    </row>
  </sheetData>
  <mergeCells count="1">
    <mergeCell ref="A5:B5"/>
  </mergeCells>
  <conditionalFormatting sqref="O5:P21">
    <cfRule type="cellIs" dxfId="0" priority="1" operator="notEqual">
      <formula>0</formula>
    </cfRule>
  </conditionalFormatting>
  <pageMargins left="0.7" right="0.7" top="0.75" bottom="0.75" header="0.3" footer="0.3"/>
  <drawing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A4040A-60CF-6F4E-9DAD-56BD3E563B81}">
  <dimension ref="A1:D56"/>
  <sheetViews>
    <sheetView tabSelected="1" workbookViewId="0">
      <selection activeCell="C60" sqref="C60"/>
    </sheetView>
  </sheetViews>
  <sheetFormatPr baseColWidth="10" defaultRowHeight="16"/>
  <cols>
    <col min="1" max="1" width="15.6640625" bestFit="1" customWidth="1"/>
    <col min="3" max="3" width="255.6640625" customWidth="1"/>
    <col min="4" max="4" width="219.83203125" bestFit="1" customWidth="1"/>
  </cols>
  <sheetData>
    <row r="1" spans="1:4" ht="17">
      <c r="A1" s="114" t="str">
        <f>All!A1</f>
        <v>Author</v>
      </c>
      <c r="B1" s="114" t="str">
        <f>All!B1</f>
        <v>Year</v>
      </c>
      <c r="C1" s="114" t="s">
        <v>140</v>
      </c>
      <c r="D1" s="114" t="s">
        <v>166</v>
      </c>
    </row>
    <row r="2" spans="1:4">
      <c r="A2" t="str">
        <f>All!A2</f>
        <v>Erdal</v>
      </c>
      <c r="B2" t="str">
        <f>All!B2</f>
        <v>2005</v>
      </c>
      <c r="C2" s="115" t="s">
        <v>141</v>
      </c>
    </row>
    <row r="3" spans="1:4">
      <c r="A3" t="str">
        <f>All!A3</f>
        <v>Erdal</v>
      </c>
      <c r="B3" t="str">
        <f>All!B3</f>
        <v>2005</v>
      </c>
      <c r="C3" s="115" t="s">
        <v>141</v>
      </c>
    </row>
    <row r="4" spans="1:4">
      <c r="A4" t="str">
        <f>All!A4</f>
        <v>Welles</v>
      </c>
      <c r="B4" t="str">
        <f>All!B4</f>
        <v>2015</v>
      </c>
      <c r="C4" s="115" t="s">
        <v>142</v>
      </c>
    </row>
    <row r="5" spans="1:4">
      <c r="A5" t="str">
        <f>All!A5</f>
        <v>Welles</v>
      </c>
      <c r="B5" t="str">
        <f>All!B5</f>
        <v>2015</v>
      </c>
      <c r="C5" s="115" t="s">
        <v>142</v>
      </c>
    </row>
    <row r="6" spans="1:4">
      <c r="A6" t="str">
        <f>All!A6</f>
        <v>Welles</v>
      </c>
      <c r="B6" t="str">
        <f>All!B6</f>
        <v>2015</v>
      </c>
      <c r="C6" s="115" t="s">
        <v>142</v>
      </c>
    </row>
    <row r="7" spans="1:4">
      <c r="A7" t="str">
        <f>All!A7</f>
        <v>Welles</v>
      </c>
      <c r="B7" t="str">
        <f>All!B7</f>
        <v>2015</v>
      </c>
      <c r="C7" s="115" t="s">
        <v>142</v>
      </c>
    </row>
    <row r="8" spans="1:4">
      <c r="A8" t="str">
        <f>All!A8</f>
        <v>Welles high polyP</v>
      </c>
      <c r="B8" t="str">
        <f>All!B8</f>
        <v>2015</v>
      </c>
      <c r="C8" s="115" t="s">
        <v>142</v>
      </c>
    </row>
    <row r="9" spans="1:4">
      <c r="A9" t="str">
        <f>All!A9</f>
        <v>Welles low polyP</v>
      </c>
      <c r="B9" t="str">
        <f>All!B9</f>
        <v>2015</v>
      </c>
      <c r="C9" s="115" t="s">
        <v>142</v>
      </c>
    </row>
    <row r="10" spans="1:4" ht="17">
      <c r="A10" t="str">
        <f>All!A10</f>
        <v>Brdjanovic</v>
      </c>
      <c r="B10" t="str">
        <f>All!B10</f>
        <v>1997, 1998</v>
      </c>
      <c r="C10" s="116" t="s">
        <v>143</v>
      </c>
      <c r="D10" s="115" t="s">
        <v>144</v>
      </c>
    </row>
    <row r="11" spans="1:4" ht="17">
      <c r="A11" t="str">
        <f>All!A11</f>
        <v>Brdjanovic</v>
      </c>
      <c r="B11" t="str">
        <f>All!B11</f>
        <v>1997, 1998</v>
      </c>
      <c r="C11" s="116" t="s">
        <v>143</v>
      </c>
      <c r="D11" s="115" t="s">
        <v>144</v>
      </c>
    </row>
    <row r="12" spans="1:4" ht="17">
      <c r="A12" t="str">
        <f>All!A12</f>
        <v>Zhou</v>
      </c>
      <c r="B12" t="str">
        <f>All!B12</f>
        <v>2008</v>
      </c>
      <c r="C12" s="116" t="s">
        <v>145</v>
      </c>
    </row>
    <row r="13" spans="1:4" ht="17">
      <c r="A13" t="str">
        <f>All!A13</f>
        <v>Zhou</v>
      </c>
      <c r="B13" t="str">
        <f>All!B13</f>
        <v>2008</v>
      </c>
      <c r="C13" s="116" t="s">
        <v>145</v>
      </c>
    </row>
    <row r="14" spans="1:4" ht="17">
      <c r="A14" t="str">
        <f>All!A14</f>
        <v>Smolders</v>
      </c>
      <c r="B14" t="str">
        <f>All!B14</f>
        <v>1994, 1995</v>
      </c>
      <c r="C14" s="116" t="s">
        <v>147</v>
      </c>
      <c r="D14" s="115" t="s">
        <v>148</v>
      </c>
    </row>
    <row r="15" spans="1:4">
      <c r="A15" t="str">
        <f>All!A15</f>
        <v>Tian</v>
      </c>
      <c r="B15" t="str">
        <f>All!B15</f>
        <v>2013</v>
      </c>
      <c r="C15" s="115" t="s">
        <v>149</v>
      </c>
    </row>
    <row r="16" spans="1:4">
      <c r="A16" t="str">
        <f>All!A16</f>
        <v>Zeng</v>
      </c>
      <c r="B16" t="str">
        <f>All!B16</f>
        <v>2003</v>
      </c>
      <c r="C16" s="115" t="s">
        <v>150</v>
      </c>
    </row>
    <row r="17" spans="1:3">
      <c r="A17" t="str">
        <f>All!A17</f>
        <v>Lopez-Vasquez</v>
      </c>
      <c r="B17" t="str">
        <f>All!B17</f>
        <v>2007</v>
      </c>
      <c r="C17" s="115" t="s">
        <v>151</v>
      </c>
    </row>
    <row r="18" spans="1:3">
      <c r="A18" t="str">
        <f>All!A18</f>
        <v>Welles</v>
      </c>
      <c r="B18" t="str">
        <f>All!B18</f>
        <v>2017</v>
      </c>
      <c r="C18" s="115" t="s">
        <v>152</v>
      </c>
    </row>
    <row r="19" spans="1:3">
      <c r="A19" t="str">
        <f>All!A19</f>
        <v>Welles</v>
      </c>
      <c r="B19" t="str">
        <f>All!B19</f>
        <v>2017</v>
      </c>
      <c r="C19" s="115" t="s">
        <v>152</v>
      </c>
    </row>
    <row r="20" spans="1:3">
      <c r="A20" t="str">
        <f>All!A20</f>
        <v>Welles</v>
      </c>
      <c r="B20" t="str">
        <f>All!B20</f>
        <v>2017</v>
      </c>
      <c r="C20" s="115" t="s">
        <v>152</v>
      </c>
    </row>
    <row r="21" spans="1:3">
      <c r="A21" t="str">
        <f>All!A21</f>
        <v>Welles</v>
      </c>
      <c r="B21" t="str">
        <f>All!B21</f>
        <v>2017</v>
      </c>
      <c r="C21" s="115" t="s">
        <v>152</v>
      </c>
    </row>
    <row r="22" spans="1:3">
      <c r="A22" t="str">
        <f>All!A22</f>
        <v>Welles</v>
      </c>
      <c r="B22" t="str">
        <f>All!B22</f>
        <v>2017</v>
      </c>
      <c r="C22" s="115" t="s">
        <v>152</v>
      </c>
    </row>
    <row r="23" spans="1:3">
      <c r="A23" t="str">
        <f>All!A23</f>
        <v>Welles</v>
      </c>
      <c r="B23" t="str">
        <f>All!B23</f>
        <v>2017</v>
      </c>
      <c r="C23" s="115" t="s">
        <v>152</v>
      </c>
    </row>
    <row r="24" spans="1:3">
      <c r="A24" t="str">
        <f>All!A24</f>
        <v>Lanham</v>
      </c>
      <c r="B24" t="str">
        <f>All!B24</f>
        <v>2012</v>
      </c>
      <c r="C24" s="115" t="s">
        <v>153</v>
      </c>
    </row>
    <row r="25" spans="1:3">
      <c r="A25" t="str">
        <f>All!A25</f>
        <v>Lanham</v>
      </c>
      <c r="B25" t="str">
        <f>All!B25</f>
        <v>2012</v>
      </c>
      <c r="C25" s="115" t="s">
        <v>153</v>
      </c>
    </row>
    <row r="26" spans="1:3">
      <c r="A26" t="str">
        <f>All!A26</f>
        <v>Lanham</v>
      </c>
      <c r="B26" t="str">
        <f>All!B26</f>
        <v>2012</v>
      </c>
      <c r="C26" s="115" t="s">
        <v>153</v>
      </c>
    </row>
    <row r="27" spans="1:3">
      <c r="A27" t="str">
        <f>All!A27</f>
        <v>Lanham</v>
      </c>
      <c r="B27" t="str">
        <f>All!B27</f>
        <v>2012</v>
      </c>
      <c r="C27" s="115" t="s">
        <v>153</v>
      </c>
    </row>
    <row r="28" spans="1:3">
      <c r="A28" t="str">
        <f>All!A28</f>
        <v>Lanham</v>
      </c>
      <c r="B28" t="str">
        <f>All!B28</f>
        <v>2012</v>
      </c>
      <c r="C28" s="115" t="s">
        <v>153</v>
      </c>
    </row>
    <row r="29" spans="1:3">
      <c r="A29" t="str">
        <f>All!A29</f>
        <v>Lanham</v>
      </c>
      <c r="B29" t="str">
        <f>All!B29</f>
        <v>2012</v>
      </c>
      <c r="C29" s="115" t="s">
        <v>153</v>
      </c>
    </row>
    <row r="30" spans="1:3">
      <c r="A30" t="str">
        <f>All!A30</f>
        <v>Lanham</v>
      </c>
      <c r="B30" t="str">
        <f>All!B30</f>
        <v>2012</v>
      </c>
      <c r="C30" s="115" t="s">
        <v>153</v>
      </c>
    </row>
    <row r="31" spans="1:3">
      <c r="A31" t="str">
        <f>All!A31</f>
        <v>Pijuan</v>
      </c>
      <c r="B31" t="str">
        <f>All!B31</f>
        <v>2003</v>
      </c>
      <c r="C31" s="115" t="s">
        <v>154</v>
      </c>
    </row>
    <row r="32" spans="1:3">
      <c r="A32" t="str">
        <f>All!A32</f>
        <v>Yagci</v>
      </c>
      <c r="B32" t="str">
        <f>All!B32</f>
        <v>2003</v>
      </c>
      <c r="C32" s="115" t="s">
        <v>155</v>
      </c>
    </row>
    <row r="33" spans="1:3">
      <c r="A33" t="str">
        <f>All!A33</f>
        <v>Yagci</v>
      </c>
      <c r="B33" t="str">
        <f>All!B33</f>
        <v>2003</v>
      </c>
      <c r="C33" s="115" t="s">
        <v>155</v>
      </c>
    </row>
    <row r="34" spans="1:3">
      <c r="A34" t="str">
        <f>All!A34</f>
        <v>Yagci</v>
      </c>
      <c r="B34" t="str">
        <f>All!B34</f>
        <v>2003</v>
      </c>
      <c r="C34" s="115" t="s">
        <v>155</v>
      </c>
    </row>
    <row r="35" spans="1:3">
      <c r="A35" t="str">
        <f>All!A35</f>
        <v>Yagci</v>
      </c>
      <c r="B35" t="str">
        <f>All!B35</f>
        <v>2003</v>
      </c>
      <c r="C35" s="115" t="s">
        <v>155</v>
      </c>
    </row>
    <row r="36" spans="1:3">
      <c r="A36" t="str">
        <f>All!A36</f>
        <v>Filipe</v>
      </c>
      <c r="B36" t="str">
        <f>All!B36</f>
        <v>2001</v>
      </c>
      <c r="C36" s="115" t="s">
        <v>156</v>
      </c>
    </row>
    <row r="37" spans="1:3" ht="17">
      <c r="A37" t="str">
        <f>All!A37</f>
        <v>Zeng</v>
      </c>
      <c r="B37" t="str">
        <f>All!B37</f>
        <v>2002</v>
      </c>
      <c r="C37" s="116" t="s">
        <v>157</v>
      </c>
    </row>
    <row r="38" spans="1:3">
      <c r="A38" t="str">
        <f>All!A38</f>
        <v>Pereira</v>
      </c>
      <c r="B38" t="str">
        <f>All!B38</f>
        <v>1996</v>
      </c>
      <c r="C38" s="115" t="s">
        <v>158</v>
      </c>
    </row>
    <row r="39" spans="1:3" ht="17">
      <c r="A39" t="str">
        <f>All!A39</f>
        <v>Hesselman</v>
      </c>
      <c r="B39" t="str">
        <f>All!B39</f>
        <v>2000</v>
      </c>
      <c r="C39" s="116" t="s">
        <v>159</v>
      </c>
    </row>
    <row r="40" spans="1:3" ht="17">
      <c r="A40" t="str">
        <f>All!A40</f>
        <v>Carvalheira</v>
      </c>
      <c r="B40" t="str">
        <f>All!B40</f>
        <v>2014</v>
      </c>
      <c r="C40" s="116" t="s">
        <v>160</v>
      </c>
    </row>
    <row r="41" spans="1:3">
      <c r="A41" t="str">
        <f>All!A41</f>
        <v>Acevedo</v>
      </c>
      <c r="B41" t="str">
        <f>All!B41</f>
        <v>2012</v>
      </c>
      <c r="C41" s="115" t="s">
        <v>146</v>
      </c>
    </row>
    <row r="42" spans="1:3">
      <c r="A42" t="str">
        <f>All!A42</f>
        <v>Acevedo</v>
      </c>
      <c r="B42" t="str">
        <f>All!B42</f>
        <v>2012</v>
      </c>
      <c r="C42" s="115" t="s">
        <v>146</v>
      </c>
    </row>
    <row r="43" spans="1:3">
      <c r="A43" t="str">
        <f>All!A43</f>
        <v>Acevedo</v>
      </c>
      <c r="B43" t="str">
        <f>All!B43</f>
        <v>2012</v>
      </c>
      <c r="C43" s="115" t="s">
        <v>146</v>
      </c>
    </row>
    <row r="44" spans="1:3">
      <c r="A44" t="str">
        <f>All!A44</f>
        <v>Acevedo</v>
      </c>
      <c r="B44" t="str">
        <f>All!B44</f>
        <v>2012</v>
      </c>
      <c r="C44" s="115" t="s">
        <v>146</v>
      </c>
    </row>
    <row r="45" spans="1:3">
      <c r="A45" t="str">
        <f>All!A45</f>
        <v>Acevedo</v>
      </c>
      <c r="B45" t="str">
        <f>All!B45</f>
        <v>2012</v>
      </c>
      <c r="C45" s="115" t="s">
        <v>146</v>
      </c>
    </row>
    <row r="46" spans="1:3">
      <c r="A46" t="str">
        <f>All!A46</f>
        <v>Acevedo</v>
      </c>
      <c r="B46" t="str">
        <f>All!B46</f>
        <v>2012</v>
      </c>
      <c r="C46" s="115" t="s">
        <v>146</v>
      </c>
    </row>
    <row r="47" spans="1:3">
      <c r="A47" t="str">
        <f>All!A47</f>
        <v>Jeon</v>
      </c>
      <c r="B47" t="str">
        <f>All!B47</f>
        <v>2001</v>
      </c>
      <c r="C47" s="115" t="s">
        <v>161</v>
      </c>
    </row>
    <row r="48" spans="1:3">
      <c r="A48" t="str">
        <f>All!A48</f>
        <v>Jeon</v>
      </c>
      <c r="B48" t="str">
        <f>All!B48</f>
        <v>2001</v>
      </c>
      <c r="C48" s="115" t="s">
        <v>161</v>
      </c>
    </row>
    <row r="49" spans="1:3">
      <c r="A49" t="str">
        <f>All!A49</f>
        <v>Lu</v>
      </c>
      <c r="B49" t="str">
        <f>All!B49</f>
        <v>2006</v>
      </c>
      <c r="C49" s="115" t="s">
        <v>162</v>
      </c>
    </row>
    <row r="50" spans="1:3" ht="17">
      <c r="A50" t="str">
        <f>All!A50</f>
        <v>Oehmen</v>
      </c>
      <c r="B50" t="str">
        <f>All!B50</f>
        <v>2005</v>
      </c>
      <c r="C50" s="116" t="s">
        <v>163</v>
      </c>
    </row>
    <row r="51" spans="1:3" ht="17">
      <c r="A51" t="str">
        <f>All!A51</f>
        <v>Oehmen</v>
      </c>
      <c r="B51" t="str">
        <f>All!B51</f>
        <v>2005</v>
      </c>
      <c r="C51" s="116" t="s">
        <v>163</v>
      </c>
    </row>
    <row r="52" spans="1:3">
      <c r="A52" t="str">
        <f>All!A52</f>
        <v>Zhou</v>
      </c>
      <c r="B52" t="str">
        <f>All!B52</f>
        <v>2009</v>
      </c>
      <c r="C52" s="115" t="s">
        <v>165</v>
      </c>
    </row>
    <row r="53" spans="1:3">
      <c r="A53" t="str">
        <f>All!A53</f>
        <v>Zhou low Glyc</v>
      </c>
      <c r="B53" t="str">
        <f>All!B53</f>
        <v>2009</v>
      </c>
      <c r="C53" s="115" t="s">
        <v>165</v>
      </c>
    </row>
    <row r="54" spans="1:3">
      <c r="A54" t="str">
        <f>All!A54</f>
        <v>Zhou low Glyc</v>
      </c>
      <c r="B54" t="str">
        <f>All!B54</f>
        <v>2009</v>
      </c>
      <c r="C54" s="115" t="s">
        <v>165</v>
      </c>
    </row>
    <row r="55" spans="1:3">
      <c r="A55" t="str">
        <f>All!A55</f>
        <v>Pijuan</v>
      </c>
      <c r="B55" t="str">
        <f>All!B55</f>
        <v>2008</v>
      </c>
      <c r="C55" s="115" t="s">
        <v>164</v>
      </c>
    </row>
    <row r="56" spans="1:3">
      <c r="A56" t="str">
        <f>All!A56</f>
        <v>Pijuan</v>
      </c>
      <c r="B56" t="str">
        <f>All!B56</f>
        <v>2008</v>
      </c>
      <c r="C56" s="115" t="s">
        <v>164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56"/>
  <sheetViews>
    <sheetView workbookViewId="0">
      <pane ySplit="1" topLeftCell="A2" activePane="bottomLeft" state="frozen"/>
      <selection pane="bottomLeft" activeCell="B1" sqref="A1:B1"/>
    </sheetView>
  </sheetViews>
  <sheetFormatPr baseColWidth="10" defaultRowHeight="16"/>
  <cols>
    <col min="1" max="1" width="13.1640625" bestFit="1" customWidth="1" collapsed="1"/>
    <col min="2" max="2" width="10.1640625" bestFit="1" customWidth="1" collapsed="1"/>
    <col min="3" max="3" width="14.5" bestFit="1" customWidth="1" collapsed="1"/>
    <col min="4" max="4" width="7" customWidth="1" collapsed="1"/>
    <col min="5" max="5" width="6.33203125" bestFit="1" customWidth="1" collapsed="1"/>
    <col min="6" max="6" width="9.6640625" style="70" customWidth="1" collapsed="1"/>
    <col min="7" max="9" width="12" bestFit="1" customWidth="1" collapsed="1"/>
    <col min="10" max="10" width="12" customWidth="1" collapsed="1"/>
    <col min="11" max="11" width="12" style="70" customWidth="1" collapsed="1"/>
    <col min="12" max="14" width="12" customWidth="1" collapsed="1"/>
    <col min="15" max="15" width="14.33203125" bestFit="1" customWidth="1" collapsed="1"/>
    <col min="16" max="16" width="7.33203125" bestFit="1" customWidth="1" collapsed="1"/>
    <col min="17" max="17" width="7.6640625" bestFit="1" customWidth="1" collapsed="1"/>
    <col min="18" max="18" width="12" bestFit="1" customWidth="1" collapsed="1"/>
    <col min="19" max="23" width="11.6640625" bestFit="1" customWidth="1" collapsed="1"/>
    <col min="24" max="27" width="11.6640625" customWidth="1" collapsed="1"/>
    <col min="28" max="28" width="14.33203125" customWidth="1" collapsed="1"/>
    <col min="29" max="29" width="11.6640625" customWidth="1" collapsed="1"/>
    <col min="30" max="31" width="11.6640625" bestFit="1" customWidth="1" collapsed="1"/>
  </cols>
  <sheetData>
    <row r="1" spans="1:34" s="11" customFormat="1" ht="47" customHeight="1">
      <c r="A1" s="52" t="s">
        <v>13</v>
      </c>
      <c r="B1" s="52" t="s">
        <v>14</v>
      </c>
      <c r="C1" s="52" t="s">
        <v>15</v>
      </c>
      <c r="D1" s="52" t="s">
        <v>16</v>
      </c>
      <c r="E1" s="52" t="s">
        <v>17</v>
      </c>
      <c r="F1" s="84" t="s">
        <v>89</v>
      </c>
      <c r="G1" s="52" t="s">
        <v>0</v>
      </c>
      <c r="H1" s="52" t="s">
        <v>7</v>
      </c>
      <c r="I1" s="52" t="s">
        <v>6</v>
      </c>
      <c r="J1" s="73" t="s">
        <v>76</v>
      </c>
      <c r="K1" s="86" t="s">
        <v>98</v>
      </c>
      <c r="L1" s="52" t="s">
        <v>99</v>
      </c>
      <c r="M1" s="52" t="s">
        <v>102</v>
      </c>
      <c r="N1" s="52" t="s">
        <v>100</v>
      </c>
      <c r="O1" s="73" t="s">
        <v>101</v>
      </c>
      <c r="P1" s="52" t="s">
        <v>8</v>
      </c>
      <c r="Q1" s="52" t="s">
        <v>9</v>
      </c>
      <c r="R1" s="57" t="s">
        <v>87</v>
      </c>
      <c r="S1" s="57" t="s">
        <v>77</v>
      </c>
      <c r="T1" s="57" t="s">
        <v>78</v>
      </c>
      <c r="U1" s="57" t="s">
        <v>79</v>
      </c>
      <c r="V1" s="57" t="s">
        <v>80</v>
      </c>
      <c r="W1" s="57" t="s">
        <v>81</v>
      </c>
      <c r="X1" s="57" t="s">
        <v>88</v>
      </c>
      <c r="Y1" s="57" t="s">
        <v>82</v>
      </c>
      <c r="Z1" s="57" t="s">
        <v>83</v>
      </c>
      <c r="AA1" s="57" t="s">
        <v>84</v>
      </c>
      <c r="AB1" s="57" t="s">
        <v>85</v>
      </c>
      <c r="AC1" s="57" t="s">
        <v>86</v>
      </c>
      <c r="AD1" s="57" t="s">
        <v>42</v>
      </c>
      <c r="AE1" s="57" t="s">
        <v>43</v>
      </c>
    </row>
    <row r="2" spans="1:34">
      <c r="A2" s="53" t="str">
        <f>+'Erdal 2005'!A2</f>
        <v>Erdal</v>
      </c>
      <c r="B2" s="54" t="str">
        <f>+'Erdal 2005'!B2</f>
        <v>2005</v>
      </c>
      <c r="C2" s="53" t="str">
        <f>+'Erdal 2005'!C2</f>
        <v>????</v>
      </c>
      <c r="D2" s="56">
        <f>+'Erdal 2005'!D2</f>
        <v>5</v>
      </c>
      <c r="E2" s="56" t="str">
        <f>+'Erdal 2005'!E2</f>
        <v>????</v>
      </c>
      <c r="F2" s="83">
        <f>+'Erdal 2005'!F2</f>
        <v>1</v>
      </c>
      <c r="G2" s="55">
        <f>+'Erdal 2005'!G2</f>
        <v>0.29870129870129869</v>
      </c>
      <c r="H2" s="55">
        <f>+'Erdal 2005'!H2</f>
        <v>9.7402597402597407E-2</v>
      </c>
      <c r="I2" s="55">
        <f>+'Erdal 2005'!I2</f>
        <v>1.2207792207792207</v>
      </c>
      <c r="J2" s="80">
        <f>+'Erdal 2005'!J2</f>
        <v>1.298701298701299E-7</v>
      </c>
      <c r="K2" s="87">
        <f>+'Erdal 2005'!K2</f>
        <v>0.05</v>
      </c>
      <c r="L2" s="80">
        <f>+'Erdal 2005'!L2</f>
        <v>3.3395820443178681E-2</v>
      </c>
      <c r="M2" s="80">
        <f>+'Erdal 2005'!M2</f>
        <v>1.0889941448862614E-2</v>
      </c>
      <c r="N2" s="80">
        <f>+'Erdal 2005'!N2</f>
        <v>8.6322126534461655E-2</v>
      </c>
      <c r="O2" s="80">
        <f>+'Erdal 2005'!O2</f>
        <v>1.4519921931816821E-8</v>
      </c>
      <c r="P2" s="55">
        <f>+'Erdal 2005'!P2</f>
        <v>1.94806493506493E-2</v>
      </c>
      <c r="Q2" s="55">
        <f>+'Erdal 2005'!R2</f>
        <v>0.7662344155844153</v>
      </c>
      <c r="R2" s="58">
        <v>1.0362338258182346</v>
      </c>
      <c r="S2" s="58">
        <v>0.31486565752966555</v>
      </c>
      <c r="T2" s="58">
        <v>9.5340041167042339E-2</v>
      </c>
      <c r="U2" s="58">
        <v>1.099281130265265</v>
      </c>
      <c r="V2" s="58">
        <v>1.2987012605058146E-7</v>
      </c>
      <c r="W2" s="58">
        <v>0.15647818191778576</v>
      </c>
      <c r="X2" s="58">
        <v>4.502354612322413E-2</v>
      </c>
      <c r="Y2" s="58">
        <v>3.1955750311893912E-2</v>
      </c>
      <c r="Z2" s="58">
        <v>1.0819360033299615E-2</v>
      </c>
      <c r="AA2" s="58">
        <v>4.6200976948491283E-2</v>
      </c>
      <c r="AB2" s="58">
        <v>1.4519921931816637E-8</v>
      </c>
      <c r="AC2" s="58">
        <v>5.7897692584853366E-3</v>
      </c>
      <c r="AD2" s="59">
        <f t="shared" ref="AD2:AD56" si="0">-4*R2-4*S2+24/5*T2+18/4*U2+30/6*V2</f>
        <v>-2.4547554216208825E-10</v>
      </c>
      <c r="AE2" s="58">
        <f t="shared" ref="AE2:AE56" si="1">-R2-S2+T2+U2+V2+W2</f>
        <v>-1.2768100465798682E-10</v>
      </c>
    </row>
    <row r="3" spans="1:34">
      <c r="A3" s="53" t="str">
        <f>+'Erdal 2005'!A3</f>
        <v>Erdal</v>
      </c>
      <c r="B3" s="54" t="str">
        <f>+'Erdal 2005'!B3</f>
        <v>2005</v>
      </c>
      <c r="C3" s="53" t="str">
        <f>+'Erdal 2005'!C3</f>
        <v>????</v>
      </c>
      <c r="D3" s="56">
        <f>+'Erdal 2005'!D3</f>
        <v>20</v>
      </c>
      <c r="E3" s="56" t="str">
        <f>+'Erdal 2005'!E3</f>
        <v>????</v>
      </c>
      <c r="F3" s="83">
        <f>+'Erdal 2005'!F3</f>
        <v>1</v>
      </c>
      <c r="G3" s="55">
        <f>+'Erdal 2005'!G3</f>
        <v>0.40540540540540543</v>
      </c>
      <c r="H3" s="55">
        <f>+'Erdal 2005'!H3</f>
        <v>0.17374517374517376</v>
      </c>
      <c r="I3" s="55">
        <f>+'Erdal 2005'!I3</f>
        <v>0.79536679536679533</v>
      </c>
      <c r="J3" s="80">
        <f>+'Erdal 2005'!J3</f>
        <v>1.1583011583011585E-7</v>
      </c>
      <c r="K3" s="87">
        <f>+'Erdal 2005'!K3</f>
        <v>0.05</v>
      </c>
      <c r="L3" s="80">
        <f>+'Erdal 2005'!L3</f>
        <v>4.5325702246617368E-2</v>
      </c>
      <c r="M3" s="80">
        <f>+'Erdal 2005'!M3</f>
        <v>1.9425300962836015E-2</v>
      </c>
      <c r="N3" s="80">
        <f>+'Erdal 2005'!N3</f>
        <v>5.6240925453447416E-2</v>
      </c>
      <c r="O3" s="80">
        <f>+'Erdal 2005'!O3</f>
        <v>1</v>
      </c>
      <c r="P3" s="55">
        <f>+'Erdal 2005'!P3</f>
        <v>-0.43629332046332048</v>
      </c>
      <c r="Q3" s="55">
        <f>+'Erdal 2005'!R3</f>
        <v>-1.2084936293436299</v>
      </c>
      <c r="R3" s="58">
        <v>0.99951946414808768</v>
      </c>
      <c r="S3" s="58">
        <v>0.4050105113914686</v>
      </c>
      <c r="T3" s="58">
        <v>0.1738322216833843</v>
      </c>
      <c r="U3" s="58">
        <v>0.79605094862287051</v>
      </c>
      <c r="V3" s="58">
        <v>0.24029919383629378</v>
      </c>
      <c r="W3" s="58">
        <v>0.1943476113748106</v>
      </c>
      <c r="X3" s="58">
        <v>4.9960218592266105E-2</v>
      </c>
      <c r="Y3" s="58">
        <v>4.5296067492355666E-2</v>
      </c>
      <c r="Z3" s="58">
        <v>1.9421942326656425E-2</v>
      </c>
      <c r="AA3" s="58">
        <v>5.6169256375496981E-2</v>
      </c>
      <c r="AB3" s="58">
        <v>7.6098103507597575E-2</v>
      </c>
      <c r="AC3" s="58">
        <v>1.4606870369653821E-2</v>
      </c>
      <c r="AD3" s="59">
        <f t="shared" si="0"/>
        <v>-9.3594909600369647E-11</v>
      </c>
      <c r="AE3" s="58">
        <f t="shared" si="1"/>
        <v>-2.2197188531691836E-11</v>
      </c>
      <c r="AG3" s="10"/>
      <c r="AH3" s="10"/>
    </row>
    <row r="4" spans="1:34">
      <c r="A4" s="53" t="str">
        <f>+'Welles 2015, 2017'!A2</f>
        <v>Welles</v>
      </c>
      <c r="B4" s="54" t="str">
        <f>+'Welles 2015, 2017'!B2</f>
        <v>2015</v>
      </c>
      <c r="C4" s="53" t="str">
        <f>+'Welles 2015, 2017'!C2</f>
        <v>PAO II</v>
      </c>
      <c r="D4" s="56">
        <f>+'Welles 2015, 2017'!D2</f>
        <v>20</v>
      </c>
      <c r="E4" s="56">
        <f>+'Welles 2015, 2017'!E2</f>
        <v>7</v>
      </c>
      <c r="F4" s="83">
        <f>+'Welles 2015, 2017'!F2</f>
        <v>1</v>
      </c>
      <c r="G4" s="56">
        <f>+'Welles 2015, 2017'!G2</f>
        <v>0.96</v>
      </c>
      <c r="H4" s="56">
        <f>+'Welles 2015, 2017'!H2</f>
        <v>0.23</v>
      </c>
      <c r="I4" s="56">
        <f>+'Welles 2015, 2017'!I2</f>
        <v>1.24</v>
      </c>
      <c r="J4" s="80">
        <f>+'Welles 2015, 2017'!J2</f>
        <v>3.0000000000000004E-5</v>
      </c>
      <c r="K4" s="87">
        <f>+'Welles 2015, 2017'!K2</f>
        <v>0.05</v>
      </c>
      <c r="L4" s="80">
        <f>+'Welles 2015, 2017'!L2</f>
        <v>0.10733126291998991</v>
      </c>
      <c r="M4" s="80">
        <f>+'Welles 2015, 2017'!M2</f>
        <v>2.5714781741247587E-2</v>
      </c>
      <c r="N4" s="80">
        <f>+'Welles 2015, 2017'!N2</f>
        <v>8.7681240867131915E-2</v>
      </c>
      <c r="O4" s="80">
        <f>+'Welles 2015, 2017'!O2</f>
        <v>1</v>
      </c>
      <c r="P4" s="56">
        <f>+'Welles 2015, 2017'!P2</f>
        <v>-0.48997000000000002</v>
      </c>
      <c r="Q4" s="56">
        <f>+'Welles 2015, 2017'!R2</f>
        <v>-1.1558499999999996</v>
      </c>
      <c r="R4" s="58">
        <v>0.99954494107159841</v>
      </c>
      <c r="S4" s="58">
        <v>0.95790322597889055</v>
      </c>
      <c r="T4" s="58">
        <v>0.23014446505313468</v>
      </c>
      <c r="U4" s="58">
        <v>1.2415747646619069</v>
      </c>
      <c r="V4" s="58">
        <v>0.22760255899630336</v>
      </c>
      <c r="W4" s="58">
        <v>0.25812637834357899</v>
      </c>
      <c r="X4" s="58">
        <v>4.9960609761168492E-2</v>
      </c>
      <c r="Y4" s="58">
        <v>0.1069410624932878</v>
      </c>
      <c r="Z4" s="58">
        <v>2.5707066865223442E-2</v>
      </c>
      <c r="AA4" s="58">
        <v>8.7412078502334248E-2</v>
      </c>
      <c r="AB4" s="58">
        <v>0.12475351500177063</v>
      </c>
      <c r="AC4" s="58">
        <v>2.5101992385847732E-2</v>
      </c>
      <c r="AD4" s="59">
        <f t="shared" si="0"/>
        <v>1.318856135412716E-11</v>
      </c>
      <c r="AE4" s="58">
        <f t="shared" si="1"/>
        <v>4.4351189387725753E-12</v>
      </c>
      <c r="AG4" s="10"/>
      <c r="AH4" s="10"/>
    </row>
    <row r="5" spans="1:34">
      <c r="A5" s="53" t="str">
        <f>+'Welles 2015, 2017'!A3</f>
        <v>Welles</v>
      </c>
      <c r="B5" s="54" t="str">
        <f>+'Welles 2015, 2017'!B3</f>
        <v>2015</v>
      </c>
      <c r="C5" s="53" t="str">
        <f>+'Welles 2015, 2017'!C3</f>
        <v>PAO II</v>
      </c>
      <c r="D5" s="56">
        <f>+'Welles 2015, 2017'!D3</f>
        <v>20</v>
      </c>
      <c r="E5" s="56">
        <f>+'Welles 2015, 2017'!E3</f>
        <v>7</v>
      </c>
      <c r="F5" s="83">
        <f>+'Welles 2015, 2017'!F3</f>
        <v>1</v>
      </c>
      <c r="G5" s="56">
        <f>+'Welles 2015, 2017'!G3</f>
        <v>0.98</v>
      </c>
      <c r="H5" s="56">
        <f>+'Welles 2015, 2017'!H3</f>
        <v>0.32</v>
      </c>
      <c r="I5" s="56">
        <f>+'Welles 2015, 2017'!I3</f>
        <v>1.19</v>
      </c>
      <c r="J5" s="80">
        <f>+'Welles 2015, 2017'!J3</f>
        <v>3.0000000000000004E-5</v>
      </c>
      <c r="K5" s="87">
        <f>+'Welles 2015, 2017'!K3</f>
        <v>0.05</v>
      </c>
      <c r="L5" s="80">
        <f>+'Welles 2015, 2017'!L3</f>
        <v>0.1095673308974897</v>
      </c>
      <c r="M5" s="80">
        <f>+'Welles 2015, 2017'!M3</f>
        <v>3.5777087639996638E-2</v>
      </c>
      <c r="N5" s="80">
        <f>+'Welles 2015, 2017'!N3</f>
        <v>8.4145706961199163E-2</v>
      </c>
      <c r="O5" s="80">
        <f>+'Welles 2015, 2017'!O3</f>
        <v>1</v>
      </c>
      <c r="P5" s="56">
        <f>+'Welles 2015, 2017'!P3</f>
        <v>-0.46997</v>
      </c>
      <c r="Q5" s="56">
        <f>+'Welles 2015, 2017'!R3</f>
        <v>-1.0288500000000007</v>
      </c>
      <c r="R5" s="58">
        <v>0.99959510177541089</v>
      </c>
      <c r="S5" s="58">
        <v>0.97805581930252761</v>
      </c>
      <c r="T5" s="58">
        <v>0.32024881835021435</v>
      </c>
      <c r="U5" s="58">
        <v>1.1912904689292769</v>
      </c>
      <c r="V5" s="58">
        <v>0.20252044919493647</v>
      </c>
      <c r="W5" s="58">
        <v>0.26359118458594916</v>
      </c>
      <c r="X5" s="58">
        <v>4.9960624828424116E-2</v>
      </c>
      <c r="Y5" s="58">
        <v>0.10915235519574389</v>
      </c>
      <c r="Z5" s="58">
        <v>3.5756314541485389E-2</v>
      </c>
      <c r="AA5" s="58">
        <v>8.3907927716322633E-2</v>
      </c>
      <c r="AB5" s="58">
        <v>0.12625315399419304</v>
      </c>
      <c r="AC5" s="58">
        <v>2.538019187605919E-2</v>
      </c>
      <c r="AD5" s="59">
        <f t="shared" si="0"/>
        <v>-7.4297235030940101E-11</v>
      </c>
      <c r="AE5" s="58">
        <f t="shared" si="1"/>
        <v>-1.7561563314671957E-11</v>
      </c>
      <c r="AG5" s="10"/>
      <c r="AH5" s="10"/>
    </row>
    <row r="6" spans="1:34">
      <c r="A6" s="53" t="str">
        <f>+'Welles 2015, 2017'!A4</f>
        <v>Welles</v>
      </c>
      <c r="B6" s="54" t="str">
        <f>+'Welles 2015, 2017'!B4</f>
        <v>2015</v>
      </c>
      <c r="C6" s="53" t="str">
        <f>+'Welles 2015, 2017'!C4</f>
        <v>PAO I / PAO II</v>
      </c>
      <c r="D6" s="56">
        <f>+'Welles 2015, 2017'!D4</f>
        <v>10</v>
      </c>
      <c r="E6" s="56">
        <f>+'Welles 2015, 2017'!E4</f>
        <v>7</v>
      </c>
      <c r="F6" s="83">
        <f>+'Welles 2015, 2017'!F4</f>
        <v>1</v>
      </c>
      <c r="G6" s="56">
        <f>+'Welles 2015, 2017'!G4</f>
        <v>1.1100000000000001</v>
      </c>
      <c r="H6" s="56">
        <f>+'Welles 2015, 2017'!H4</f>
        <v>0.28999999999999998</v>
      </c>
      <c r="I6" s="56">
        <f>+'Welles 2015, 2017'!I4</f>
        <v>1.36</v>
      </c>
      <c r="J6" s="80">
        <f>+'Welles 2015, 2017'!J4</f>
        <v>3.0000000000000004E-5</v>
      </c>
      <c r="K6" s="87">
        <f>+'Welles 2015, 2017'!K4</f>
        <v>0.05</v>
      </c>
      <c r="L6" s="80">
        <f>+'Welles 2015, 2017'!L4</f>
        <v>0.12410177275123835</v>
      </c>
      <c r="M6" s="80">
        <f>+'Welles 2015, 2017'!M4</f>
        <v>3.2422985673746949E-2</v>
      </c>
      <c r="N6" s="80">
        <f>+'Welles 2015, 2017'!N4</f>
        <v>9.6166522241370483E-2</v>
      </c>
      <c r="O6" s="80">
        <f>+'Welles 2015, 2017'!O4</f>
        <v>1</v>
      </c>
      <c r="P6" s="56">
        <f>+'Welles 2015, 2017'!P4</f>
        <v>-0.45997000000000021</v>
      </c>
      <c r="Q6" s="56">
        <f>+'Welles 2015, 2017'!R4</f>
        <v>-0.92785000000000173</v>
      </c>
      <c r="R6" s="58">
        <v>0.9996361972369564</v>
      </c>
      <c r="S6" s="58">
        <v>1.107758558157496</v>
      </c>
      <c r="T6" s="58">
        <v>0.29018362206844273</v>
      </c>
      <c r="U6" s="58">
        <v>1.3615144732287705</v>
      </c>
      <c r="V6" s="58">
        <v>0.18197650121025102</v>
      </c>
      <c r="W6" s="58">
        <v>0.27372015887075735</v>
      </c>
      <c r="X6" s="58">
        <v>4.9960768444088373E-2</v>
      </c>
      <c r="Y6" s="58">
        <v>0.12350060971255956</v>
      </c>
      <c r="Z6" s="58">
        <v>3.2407581886338688E-2</v>
      </c>
      <c r="AA6" s="58">
        <v>9.5812725071509022E-2</v>
      </c>
      <c r="AB6" s="58">
        <v>0.13974112920124446</v>
      </c>
      <c r="AC6" s="58">
        <v>2.8222688580896899E-2</v>
      </c>
      <c r="AD6" s="59">
        <f t="shared" si="0"/>
        <v>-6.856348822026348E-11</v>
      </c>
      <c r="AE6" s="58">
        <f t="shared" si="1"/>
        <v>-1.6230849997356245E-11</v>
      </c>
      <c r="AG6" s="10"/>
      <c r="AH6" s="10"/>
    </row>
    <row r="7" spans="1:34">
      <c r="A7" s="53" t="str">
        <f>+'Welles 2015, 2017'!A5</f>
        <v>Welles</v>
      </c>
      <c r="B7" s="54" t="str">
        <f>+'Welles 2015, 2017'!B5</f>
        <v>2015</v>
      </c>
      <c r="C7" s="53" t="str">
        <f>+'Welles 2015, 2017'!C5</f>
        <v>PAO I / PAO II</v>
      </c>
      <c r="D7" s="56">
        <f>+'Welles 2015, 2017'!D5</f>
        <v>20</v>
      </c>
      <c r="E7" s="56">
        <f>+'Welles 2015, 2017'!E5</f>
        <v>7</v>
      </c>
      <c r="F7" s="83">
        <f>+'Welles 2015, 2017'!F5</f>
        <v>1</v>
      </c>
      <c r="G7" s="56">
        <f>+'Welles 2015, 2017'!G5</f>
        <v>1.06</v>
      </c>
      <c r="H7" s="56">
        <f>+'Welles 2015, 2017'!H5</f>
        <v>0.43</v>
      </c>
      <c r="I7" s="56">
        <f>+'Welles 2015, 2017'!I5</f>
        <v>1.34</v>
      </c>
      <c r="J7" s="80">
        <f>+'Welles 2015, 2017'!J5</f>
        <v>3.0000000000000004E-5</v>
      </c>
      <c r="K7" s="87">
        <f>+'Welles 2015, 2017'!K5</f>
        <v>0.05</v>
      </c>
      <c r="L7" s="80">
        <f>+'Welles 2015, 2017'!L5</f>
        <v>0.11851160280748887</v>
      </c>
      <c r="M7" s="80">
        <f>+'Welles 2015, 2017'!M5</f>
        <v>4.8075461516245484E-2</v>
      </c>
      <c r="N7" s="80">
        <f>+'Welles 2015, 2017'!N5</f>
        <v>9.4752308678997393E-2</v>
      </c>
      <c r="O7" s="80">
        <f>+'Welles 2015, 2017'!O5</f>
        <v>1</v>
      </c>
      <c r="P7" s="56">
        <f>+'Welles 2015, 2017'!P5</f>
        <v>-0.28997000000000006</v>
      </c>
      <c r="Q7" s="56">
        <f>+'Welles 2015, 2017'!R5</f>
        <v>-0.1458499999999999</v>
      </c>
      <c r="R7" s="58">
        <v>0.99994288235607454</v>
      </c>
      <c r="S7" s="58">
        <v>1.0596793384186136</v>
      </c>
      <c r="T7" s="58">
        <v>0.43006342854635876</v>
      </c>
      <c r="U7" s="58">
        <v>1.3402312031089525</v>
      </c>
      <c r="V7" s="58">
        <v>2.8628802357749596E-2</v>
      </c>
      <c r="W7" s="58">
        <v>0.26069878668747126</v>
      </c>
      <c r="X7" s="58">
        <v>4.9960771312779463E-2</v>
      </c>
      <c r="Y7" s="58">
        <v>0.117988261776819</v>
      </c>
      <c r="Z7" s="58">
        <v>4.8025232622700802E-2</v>
      </c>
      <c r="AA7" s="58">
        <v>9.4413936152862643E-2</v>
      </c>
      <c r="AB7" s="58">
        <v>0.13999720693828557</v>
      </c>
      <c r="AC7" s="58">
        <v>2.7257377286912108E-2</v>
      </c>
      <c r="AD7" s="59">
        <f t="shared" si="0"/>
        <v>-2.971971002629914E-10</v>
      </c>
      <c r="AE7" s="58">
        <f t="shared" si="1"/>
        <v>-7.4156292217963937E-11</v>
      </c>
      <c r="AG7" s="10"/>
      <c r="AH7" s="10"/>
    </row>
    <row r="8" spans="1:34">
      <c r="A8" s="53" t="str">
        <f>+'Welles 2015, 2017'!A6</f>
        <v>Welles high polyP</v>
      </c>
      <c r="B8" s="54" t="str">
        <f>+'Welles 2015, 2017'!B6</f>
        <v>2015</v>
      </c>
      <c r="C8" s="53" t="str">
        <f>+'Welles 2015, 2017'!C6</f>
        <v>PAO I high polyP</v>
      </c>
      <c r="D8" s="56">
        <f>+'Welles 2015, 2017'!D6</f>
        <v>20</v>
      </c>
      <c r="E8" s="56">
        <f>+'Welles 2015, 2017'!E6</f>
        <v>7</v>
      </c>
      <c r="F8" s="83">
        <f>+'Welles 2015, 2017'!F6</f>
        <v>1</v>
      </c>
      <c r="G8" s="56">
        <f>+'Welles 2015, 2017'!G6</f>
        <v>0.28999999999999998</v>
      </c>
      <c r="H8" s="56">
        <f>+'Welles 2015, 2017'!H6</f>
        <v>0.09</v>
      </c>
      <c r="I8" s="56">
        <f>+'Welles 2015, 2017'!I6</f>
        <v>1.27</v>
      </c>
      <c r="J8" s="80">
        <f>+'Welles 2015, 2017'!J6</f>
        <v>3.0000000000000004E-5</v>
      </c>
      <c r="K8" s="87">
        <f>+'Welles 2015, 2017'!K6</f>
        <v>0.05</v>
      </c>
      <c r="L8" s="80">
        <f>+'Welles 2015, 2017'!L6</f>
        <v>3.2422985673746949E-2</v>
      </c>
      <c r="M8" s="80">
        <f>+'Welles 2015, 2017'!M6</f>
        <v>1.0062305898749053E-2</v>
      </c>
      <c r="N8" s="80">
        <f>+'Welles 2015, 2017'!N6</f>
        <v>8.9802561210691551E-2</v>
      </c>
      <c r="O8" s="80">
        <f>+'Welles 2015, 2017'!O6</f>
        <v>3.3541019662496853E-6</v>
      </c>
      <c r="P8" s="56">
        <f>+'Welles 2015, 2017'!P6</f>
        <v>7.0030000000000064E-2</v>
      </c>
      <c r="Q8" s="56">
        <f>+'Welles 2015, 2017'!R6</f>
        <v>0.98715000000000008</v>
      </c>
      <c r="R8" s="58">
        <v>1.0443745704892726</v>
      </c>
      <c r="S8" s="58">
        <v>0.3086595128936519</v>
      </c>
      <c r="T8" s="58">
        <v>8.7843398827940553E-2</v>
      </c>
      <c r="U8" s="58">
        <v>1.1089640046010318</v>
      </c>
      <c r="V8" s="58">
        <v>2.9999750393387637E-5</v>
      </c>
      <c r="W8" s="58">
        <v>0.15619668016738281</v>
      </c>
      <c r="X8" s="58">
        <v>4.5282215801198893E-2</v>
      </c>
      <c r="Y8" s="58">
        <v>3.1173155370521267E-2</v>
      </c>
      <c r="Z8" s="58">
        <v>1.0009408007931616E-2</v>
      </c>
      <c r="AA8" s="58">
        <v>4.6307518006946886E-2</v>
      </c>
      <c r="AB8" s="58">
        <v>3.3541019641294268E-6</v>
      </c>
      <c r="AC8" s="58">
        <v>5.7921976225932606E-3</v>
      </c>
      <c r="AD8" s="59">
        <f t="shared" si="0"/>
        <v>2.9902576909827255E-10</v>
      </c>
      <c r="AE8" s="58">
        <f t="shared" si="1"/>
        <v>-3.6176034390322798E-11</v>
      </c>
      <c r="AG8" s="10"/>
      <c r="AH8" s="10"/>
    </row>
    <row r="9" spans="1:34">
      <c r="A9" s="53" t="str">
        <f>+'Welles 2015, 2017'!A7</f>
        <v>Welles low polyP</v>
      </c>
      <c r="B9" s="54" t="str">
        <f>+'Welles 2015, 2017'!B7</f>
        <v>2015</v>
      </c>
      <c r="C9" s="53" t="str">
        <f>+'Welles 2015, 2017'!C7</f>
        <v>PAO I low polyP</v>
      </c>
      <c r="D9" s="56">
        <f>+'Welles 2015, 2017'!D7</f>
        <v>20</v>
      </c>
      <c r="E9" s="56">
        <f>+'Welles 2015, 2017'!E7</f>
        <v>7</v>
      </c>
      <c r="F9" s="83">
        <f>+'Welles 2015, 2017'!F7</f>
        <v>1</v>
      </c>
      <c r="G9" s="56">
        <f>+'Welles 2015, 2017'!G7</f>
        <v>1.28</v>
      </c>
      <c r="H9" s="56">
        <f>+'Welles 2015, 2017'!H7</f>
        <v>0.37</v>
      </c>
      <c r="I9" s="56">
        <f>+'Welles 2015, 2017'!I7</f>
        <v>1.0900000000000001</v>
      </c>
      <c r="J9" s="80">
        <f>+'Welles 2015, 2017'!J7</f>
        <v>3.0000000000000004E-5</v>
      </c>
      <c r="K9" s="87">
        <f>+'Welles 2015, 2017'!K7</f>
        <v>0.05</v>
      </c>
      <c r="L9" s="80">
        <f>+'Welles 2015, 2017'!L7</f>
        <v>0.14310835055998655</v>
      </c>
      <c r="M9" s="80">
        <f>+'Welles 2015, 2017'!M7</f>
        <v>4.1367257583746105E-2</v>
      </c>
      <c r="N9" s="80">
        <f>+'Welles 2015, 2017'!N7</f>
        <v>7.7074639149333699E-2</v>
      </c>
      <c r="O9" s="80">
        <f>+'Welles 2015, 2017'!O7</f>
        <v>1</v>
      </c>
      <c r="P9" s="56">
        <f>+'Welles 2015, 2017'!P7</f>
        <v>-0.81997000000000009</v>
      </c>
      <c r="Q9" s="56">
        <f>+'Welles 2015, 2017'!R7</f>
        <v>-2.4388500000000009</v>
      </c>
      <c r="R9" s="58">
        <v>0.99904471080923141</v>
      </c>
      <c r="S9" s="58">
        <v>1.2721741431194953</v>
      </c>
      <c r="T9" s="58">
        <v>0.37078474773639608</v>
      </c>
      <c r="U9" s="58">
        <v>1.0925540967477756</v>
      </c>
      <c r="V9" s="58">
        <v>0.47772303826530899</v>
      </c>
      <c r="W9" s="58">
        <v>0.33015697120946697</v>
      </c>
      <c r="X9" s="58">
        <v>4.9960813777346243E-2</v>
      </c>
      <c r="Y9" s="58">
        <v>0.14218688631121984</v>
      </c>
      <c r="Z9" s="58">
        <v>4.1335296497609759E-2</v>
      </c>
      <c r="AA9" s="58">
        <v>7.6892830574417342E-2</v>
      </c>
      <c r="AB9" s="58">
        <v>0.14373670316405637</v>
      </c>
      <c r="AC9" s="58">
        <v>3.1039120292544589E-2</v>
      </c>
      <c r="AD9" s="59">
        <f t="shared" si="0"/>
        <v>1.1133005628494175E-10</v>
      </c>
      <c r="AE9" s="58">
        <f t="shared" si="1"/>
        <v>3.022110339756523E-11</v>
      </c>
      <c r="AG9" s="10"/>
      <c r="AH9" s="10"/>
    </row>
    <row r="10" spans="1:34">
      <c r="A10" s="53" t="str">
        <f>+'Welles 2015, 2017'!A8</f>
        <v>Brdjanovic</v>
      </c>
      <c r="B10" s="54" t="str">
        <f>+'Welles 2015, 2017'!B8</f>
        <v>1997, 1998</v>
      </c>
      <c r="C10" s="53" t="str">
        <f>+'Welles 2015, 2017'!C8</f>
        <v>PAO</v>
      </c>
      <c r="D10" s="56">
        <f>+'Welles 2015, 2017'!D8</f>
        <v>20</v>
      </c>
      <c r="E10" s="56">
        <f>+'Welles 2015, 2017'!E8</f>
        <v>7</v>
      </c>
      <c r="F10" s="83">
        <f>+'Welles 2015, 2017'!F8</f>
        <v>1</v>
      </c>
      <c r="G10" s="56">
        <f>+'Welles 2015, 2017'!G8</f>
        <v>0.4</v>
      </c>
      <c r="H10" s="56">
        <f>+'Welles 2015, 2017'!H8</f>
        <v>0.06</v>
      </c>
      <c r="I10" s="56">
        <f>+'Welles 2015, 2017'!I8</f>
        <v>0.71</v>
      </c>
      <c r="J10" s="80">
        <f>+'Welles 2015, 2017'!J8</f>
        <v>3.0000000000000004E-5</v>
      </c>
      <c r="K10" s="87">
        <f>+'Welles 2015, 2017'!K8</f>
        <v>0.05</v>
      </c>
      <c r="L10" s="80">
        <f>+'Welles 2015, 2017'!L8</f>
        <v>4.4721359549995808E-2</v>
      </c>
      <c r="M10" s="80">
        <f>+'Welles 2015, 2017'!M8</f>
        <v>6.7082039324993696E-3</v>
      </c>
      <c r="N10" s="80">
        <f>+'Welles 2015, 2017'!N8</f>
        <v>5.020458146424487E-2</v>
      </c>
      <c r="O10" s="80">
        <f>+'Welles 2015, 2017'!O8</f>
        <v>1</v>
      </c>
      <c r="P10" s="56">
        <f>+'Welles 2015, 2017'!P8</f>
        <v>-0.62996999999999992</v>
      </c>
      <c r="Q10" s="56">
        <f>+'Welles 2015, 2017'!R8</f>
        <v>-2.1168499999999995</v>
      </c>
      <c r="R10" s="58">
        <v>0.99915751022877186</v>
      </c>
      <c r="S10" s="58">
        <v>0.39932598883412468</v>
      </c>
      <c r="T10" s="58">
        <v>6.0018199457744156E-2</v>
      </c>
      <c r="U10" s="58">
        <v>0.71095569170209116</v>
      </c>
      <c r="V10" s="58">
        <v>0.42130920526812665</v>
      </c>
      <c r="W10" s="58">
        <v>0.20620040267344833</v>
      </c>
      <c r="X10" s="58">
        <v>4.9960184444936058E-2</v>
      </c>
      <c r="Y10" s="58">
        <v>4.4692870165838172E-2</v>
      </c>
      <c r="Z10" s="58">
        <v>6.7080655063507123E-3</v>
      </c>
      <c r="AA10" s="58">
        <v>5.0153562531272337E-2</v>
      </c>
      <c r="AB10" s="58">
        <v>7.0274938116437632E-2</v>
      </c>
      <c r="AC10" s="58">
        <v>1.4296215438274185E-2</v>
      </c>
      <c r="AD10" s="59">
        <f t="shared" si="0"/>
        <v>1.4563017458613103E-10</v>
      </c>
      <c r="AE10" s="58">
        <f t="shared" si="1"/>
        <v>3.8513886524427221E-11</v>
      </c>
      <c r="AG10" s="10"/>
      <c r="AH10" s="10"/>
    </row>
    <row r="11" spans="1:34">
      <c r="A11" s="53" t="str">
        <f>+'Welles 2015, 2017'!A9</f>
        <v>Brdjanovic</v>
      </c>
      <c r="B11" s="54" t="str">
        <f>+'Welles 2015, 2017'!B9</f>
        <v>1997, 1998</v>
      </c>
      <c r="C11" s="53" t="str">
        <f>+'Welles 2015, 2017'!C9</f>
        <v>PAO</v>
      </c>
      <c r="D11" s="56">
        <f>+'Welles 2015, 2017'!D9</f>
        <v>20</v>
      </c>
      <c r="E11" s="56">
        <f>+'Welles 2015, 2017'!E9</f>
        <v>7</v>
      </c>
      <c r="F11" s="83">
        <f>+'Welles 2015, 2017'!F9</f>
        <v>1</v>
      </c>
      <c r="G11" s="56">
        <f>+'Welles 2015, 2017'!G9</f>
        <v>0.57999999999999996</v>
      </c>
      <c r="H11" s="56">
        <f>+'Welles 2015, 2017'!H9</f>
        <v>0.25</v>
      </c>
      <c r="I11" s="56">
        <f>+'Welles 2015, 2017'!I9</f>
        <v>1.39</v>
      </c>
      <c r="J11" s="80">
        <f>+'Welles 2015, 2017'!J9</f>
        <v>3.0000000000000004E-5</v>
      </c>
      <c r="K11" s="87">
        <f>+'Welles 2015, 2017'!K9</f>
        <v>0.05</v>
      </c>
      <c r="L11" s="80">
        <f>+'Welles 2015, 2017'!L9</f>
        <v>6.4845971347493897E-2</v>
      </c>
      <c r="M11" s="80">
        <f>+'Welles 2015, 2017'!M9</f>
        <v>2.7950849718747374E-2</v>
      </c>
      <c r="N11" s="80">
        <f>+'Welles 2015, 2017'!N9</f>
        <v>9.8287842584930105E-2</v>
      </c>
      <c r="O11" s="80">
        <f>+'Welles 2015, 2017'!O9</f>
        <v>3.3541019662496853E-6</v>
      </c>
      <c r="P11" s="56">
        <f>+'Welles 2015, 2017'!P9</f>
        <v>6.0029999999999833E-2</v>
      </c>
      <c r="Q11" s="56">
        <f>+'Welles 2015, 2017'!R9</f>
        <v>1.1351499999999999</v>
      </c>
      <c r="R11" s="58">
        <v>1.0353734589649575</v>
      </c>
      <c r="S11" s="58">
        <v>0.63949816537150783</v>
      </c>
      <c r="T11" s="58">
        <v>0.23673497731752907</v>
      </c>
      <c r="U11" s="58">
        <v>1.2362241349768739</v>
      </c>
      <c r="V11" s="58">
        <v>2.9999801024688184E-5</v>
      </c>
      <c r="W11" s="58">
        <v>0.20188251219732489</v>
      </c>
      <c r="X11" s="58">
        <v>4.678014082716854E-2</v>
      </c>
      <c r="Y11" s="58">
        <v>5.7648874906621995E-2</v>
      </c>
      <c r="Z11" s="58">
        <v>2.7155637006467715E-2</v>
      </c>
      <c r="AA11" s="58">
        <v>6.1411881633612123E-2</v>
      </c>
      <c r="AB11" s="58">
        <v>3.3541019647798727E-6</v>
      </c>
      <c r="AC11" s="58">
        <v>7.9388599847446673E-3</v>
      </c>
      <c r="AD11" s="59">
        <f t="shared" si="0"/>
        <v>1.7933474120318017E-10</v>
      </c>
      <c r="AE11" s="58">
        <f t="shared" si="1"/>
        <v>-4.3712589103961363E-11</v>
      </c>
      <c r="AG11" s="10"/>
      <c r="AH11" s="10"/>
    </row>
    <row r="12" spans="1:34">
      <c r="A12" s="53" t="str">
        <f>+'Welles 2015, 2017'!A10</f>
        <v>Zhou</v>
      </c>
      <c r="B12" s="54" t="str">
        <f>+'Welles 2015, 2017'!B10</f>
        <v>2008</v>
      </c>
      <c r="C12" s="53" t="str">
        <f>+'Welles 2015, 2017'!C10</f>
        <v>PAO</v>
      </c>
      <c r="D12" s="56">
        <f>+'Welles 2015, 2017'!D10</f>
        <v>20</v>
      </c>
      <c r="E12" s="56" t="str">
        <f>+'Welles 2015, 2017'!E10</f>
        <v>7-8</v>
      </c>
      <c r="F12" s="83">
        <f>+'Welles 2015, 2017'!F10</f>
        <v>1</v>
      </c>
      <c r="G12" s="56">
        <f>+'Welles 2015, 2017'!G10</f>
        <v>0.46</v>
      </c>
      <c r="H12" s="56">
        <f>+'Welles 2015, 2017'!H10</f>
        <v>7.0000000000000007E-2</v>
      </c>
      <c r="I12" s="56">
        <f>+'Welles 2015, 2017'!I10</f>
        <v>1.18</v>
      </c>
      <c r="J12" s="80">
        <f>+'Welles 2015, 2017'!J10</f>
        <v>3.0000000000000004E-5</v>
      </c>
      <c r="K12" s="87">
        <f>+'Welles 2015, 2017'!K10</f>
        <v>0.05</v>
      </c>
      <c r="L12" s="80">
        <f>+'Welles 2015, 2017'!L10</f>
        <v>5.1429563482495173E-2</v>
      </c>
      <c r="M12" s="80">
        <f>+'Welles 2015, 2017'!M10</f>
        <v>7.8262379212492659E-3</v>
      </c>
      <c r="N12" s="80">
        <f>+'Welles 2015, 2017'!N10</f>
        <v>8.3438600180012618E-2</v>
      </c>
      <c r="O12" s="80">
        <f>+'Welles 2015, 2017'!O10</f>
        <v>1</v>
      </c>
      <c r="P12" s="56">
        <f>+'Welles 2015, 2017'!P10</f>
        <v>-0.20996999999999996</v>
      </c>
      <c r="Q12" s="56">
        <f>+'Welles 2015, 2017'!R10</f>
        <v>-0.19384999999999994</v>
      </c>
      <c r="R12" s="58">
        <v>0.99992321902954506</v>
      </c>
      <c r="S12" s="58">
        <v>0.45991876448772612</v>
      </c>
      <c r="T12" s="58">
        <v>7.0002259414716661E-2</v>
      </c>
      <c r="U12" s="58">
        <v>1.1802410373605243</v>
      </c>
      <c r="V12" s="58">
        <v>3.8454484147025389E-2</v>
      </c>
      <c r="W12" s="58">
        <v>0.17114420258995749</v>
      </c>
      <c r="X12" s="58">
        <v>4.9960343365413253E-2</v>
      </c>
      <c r="Y12" s="58">
        <v>5.1386402551615903E-2</v>
      </c>
      <c r="Z12" s="58">
        <v>7.826018986508634E-3</v>
      </c>
      <c r="AA12" s="58">
        <v>8.3205124358170263E-2</v>
      </c>
      <c r="AB12" s="58">
        <v>9.4384307813725449E-2</v>
      </c>
      <c r="AC12" s="58">
        <v>1.6535665665094002E-2</v>
      </c>
      <c r="AD12" s="59">
        <f t="shared" si="0"/>
        <v>-2.095812412505893E-11</v>
      </c>
      <c r="AE12" s="58">
        <f t="shared" si="1"/>
        <v>-5.0471848922484241E-12</v>
      </c>
      <c r="AG12" s="10"/>
      <c r="AH12" s="10"/>
    </row>
    <row r="13" spans="1:34">
      <c r="A13" s="53" t="str">
        <f>+'Welles 2015, 2017'!A11</f>
        <v>Zhou</v>
      </c>
      <c r="B13" s="54" t="str">
        <f>+'Welles 2015, 2017'!B11</f>
        <v>2008</v>
      </c>
      <c r="C13" s="53" t="str">
        <f>+'Welles 2015, 2017'!C11</f>
        <v>PAO</v>
      </c>
      <c r="D13" s="56">
        <f>+'Welles 2015, 2017'!D11</f>
        <v>20</v>
      </c>
      <c r="E13" s="56">
        <f>+'Welles 2015, 2017'!E11</f>
        <v>7.5</v>
      </c>
      <c r="F13" s="83">
        <f>+'Welles 2015, 2017'!F11</f>
        <v>1</v>
      </c>
      <c r="G13" s="56">
        <f>+'Welles 2015, 2017'!G11</f>
        <v>1.03</v>
      </c>
      <c r="H13" s="56">
        <f>+'Welles 2015, 2017'!H11</f>
        <v>0.46</v>
      </c>
      <c r="I13" s="56">
        <f>+'Welles 2015, 2017'!I11</f>
        <v>1.24</v>
      </c>
      <c r="J13" s="80">
        <f>+'Welles 2015, 2017'!J11</f>
        <v>3.0000000000000004E-5</v>
      </c>
      <c r="K13" s="87">
        <f>+'Welles 2015, 2017'!K11</f>
        <v>0.05</v>
      </c>
      <c r="L13" s="80">
        <f>+'Welles 2015, 2017'!L11</f>
        <v>0.11515750084123919</v>
      </c>
      <c r="M13" s="80">
        <f>+'Welles 2015, 2017'!M11</f>
        <v>5.1429563482495173E-2</v>
      </c>
      <c r="N13" s="80">
        <f>+'Welles 2015, 2017'!N11</f>
        <v>8.7681240867131915E-2</v>
      </c>
      <c r="O13" s="80">
        <f>+'Welles 2015, 2017'!O11</f>
        <v>1</v>
      </c>
      <c r="P13" s="56">
        <f>+'Welles 2015, 2017'!P11</f>
        <v>-0.32997000000000032</v>
      </c>
      <c r="Q13" s="56">
        <f>+'Welles 2015, 2017'!R11</f>
        <v>-0.33185000000000076</v>
      </c>
      <c r="R13" s="58">
        <v>0.99986978027743345</v>
      </c>
      <c r="S13" s="58">
        <v>1.0293091791556364</v>
      </c>
      <c r="T13" s="58">
        <v>0.4601654053132142</v>
      </c>
      <c r="U13" s="58">
        <v>1.2404509306870681</v>
      </c>
      <c r="V13" s="58">
        <v>6.5178540769414706E-2</v>
      </c>
      <c r="W13" s="58">
        <v>0.26338408259120588</v>
      </c>
      <c r="X13" s="58">
        <v>4.9960723585320561E-2</v>
      </c>
      <c r="Y13" s="58">
        <v>0.11467679331079422</v>
      </c>
      <c r="Z13" s="58">
        <v>5.1367992921303195E-2</v>
      </c>
      <c r="AA13" s="58">
        <v>8.7412857209386408E-2</v>
      </c>
      <c r="AB13" s="58">
        <v>0.13567217056398626</v>
      </c>
      <c r="AC13" s="58">
        <v>2.6472119460507093E-2</v>
      </c>
      <c r="AD13" s="59">
        <f t="shared" si="0"/>
        <v>-2.8997076961800872E-10</v>
      </c>
      <c r="AE13" s="58">
        <f t="shared" si="1"/>
        <v>-7.2166828068986888E-11</v>
      </c>
      <c r="AG13" s="10"/>
      <c r="AH13" s="10"/>
    </row>
    <row r="14" spans="1:34">
      <c r="A14" s="53" t="str">
        <f>+'Welles 2015, 2017'!A12</f>
        <v>Smolders</v>
      </c>
      <c r="B14" s="54" t="str">
        <f>+'Welles 2015, 2017'!B12</f>
        <v>1994, 1995</v>
      </c>
      <c r="C14" s="53" t="str">
        <f>+'Welles 2015, 2017'!C12</f>
        <v>PAO</v>
      </c>
      <c r="D14" s="56">
        <f>+'Welles 2015, 2017'!D12</f>
        <v>20</v>
      </c>
      <c r="E14" s="56">
        <f>+'Welles 2015, 2017'!E12</f>
        <v>7</v>
      </c>
      <c r="F14" s="83">
        <f>+'Welles 2015, 2017'!F12</f>
        <v>1</v>
      </c>
      <c r="G14" s="56">
        <f>+'Welles 2015, 2017'!G12</f>
        <v>0.5</v>
      </c>
      <c r="H14" s="56">
        <f>+'Welles 2015, 2017'!H12</f>
        <v>0.12</v>
      </c>
      <c r="I14" s="56">
        <f>+'Welles 2015, 2017'!I12</f>
        <v>1.21</v>
      </c>
      <c r="J14" s="80">
        <f>+'Welles 2015, 2017'!J12</f>
        <v>3.0000000000000004E-5</v>
      </c>
      <c r="K14" s="87">
        <f>+'Welles 2015, 2017'!K12</f>
        <v>0.05</v>
      </c>
      <c r="L14" s="80">
        <f>+'Welles 2015, 2017'!L12</f>
        <v>5.5901699437494748E-2</v>
      </c>
      <c r="M14" s="80">
        <f>+'Welles 2015, 2017'!M12</f>
        <v>1.3416407864998739E-2</v>
      </c>
      <c r="N14" s="80">
        <f>+'Welles 2015, 2017'!N12</f>
        <v>8.5559920523572267E-2</v>
      </c>
      <c r="O14" s="80">
        <f>+'Welles 2015, 2017'!O12</f>
        <v>1</v>
      </c>
      <c r="P14" s="56">
        <f>+'Welles 2015, 2017'!P12</f>
        <v>-0.16996999999999993</v>
      </c>
      <c r="Q14" s="56">
        <f>+'Welles 2015, 2017'!R12</f>
        <v>2.1149999999999908E-2</v>
      </c>
      <c r="R14" s="58">
        <v>1.0000084460154162</v>
      </c>
      <c r="S14" s="58">
        <v>0.50001056873935534</v>
      </c>
      <c r="T14" s="58">
        <v>0.11999927625796916</v>
      </c>
      <c r="U14" s="58">
        <v>1.2099725647137112</v>
      </c>
      <c r="V14" s="58">
        <v>-4.1594016647291086E-3</v>
      </c>
      <c r="W14" s="58">
        <v>0.17420657542460435</v>
      </c>
      <c r="X14" s="58">
        <v>4.9960371146224258E-2</v>
      </c>
      <c r="Y14" s="58">
        <v>5.5846307114882456E-2</v>
      </c>
      <c r="Z14" s="58">
        <v>1.3415305661145715E-2</v>
      </c>
      <c r="AA14" s="58">
        <v>8.5308329590837034E-2</v>
      </c>
      <c r="AB14" s="58">
        <v>9.7991807550189811E-2</v>
      </c>
      <c r="AC14" s="58">
        <v>1.7206541654384882E-2</v>
      </c>
      <c r="AD14" s="59">
        <f t="shared" si="0"/>
        <v>-9.2779822019606328E-11</v>
      </c>
      <c r="AE14" s="58">
        <f t="shared" si="1"/>
        <v>-2.3216067956965958E-11</v>
      </c>
      <c r="AG14" s="10"/>
      <c r="AH14" s="10"/>
    </row>
    <row r="15" spans="1:34">
      <c r="A15" s="53" t="str">
        <f>+'Welles 2015, 2017'!A13</f>
        <v>Tian</v>
      </c>
      <c r="B15" s="54" t="str">
        <f>+'Welles 2015, 2017'!B13</f>
        <v>2013</v>
      </c>
      <c r="C15" s="53" t="str">
        <f>+'Welles 2015, 2017'!C13</f>
        <v>PAO I / GAO</v>
      </c>
      <c r="D15" s="56">
        <f>+'Welles 2015, 2017'!D13</f>
        <v>20</v>
      </c>
      <c r="E15" s="56">
        <f>+'Welles 2015, 2017'!E13</f>
        <v>7</v>
      </c>
      <c r="F15" s="83">
        <f>+'Welles 2015, 2017'!F13</f>
        <v>1</v>
      </c>
      <c r="G15" s="56">
        <f>+'Welles 2015, 2017'!G13</f>
        <v>0.55000000000000004</v>
      </c>
      <c r="H15" s="56">
        <f>+'Welles 2015, 2017'!H13</f>
        <v>0.13</v>
      </c>
      <c r="I15" s="56">
        <f>+'Welles 2015, 2017'!I13</f>
        <v>1.31</v>
      </c>
      <c r="J15" s="80">
        <f>+'Welles 2015, 2017'!J13</f>
        <v>3.0000000000000004E-5</v>
      </c>
      <c r="K15" s="87">
        <f>+'Welles 2015, 2017'!K13</f>
        <v>0.05</v>
      </c>
      <c r="L15" s="80">
        <f>+'Welles 2015, 2017'!L13</f>
        <v>6.1491869381244228E-2</v>
      </c>
      <c r="M15" s="80">
        <f>+'Welles 2015, 2017'!M13</f>
        <v>1.4534441853748635E-2</v>
      </c>
      <c r="N15" s="80">
        <f>+'Welles 2015, 2017'!N13</f>
        <v>9.2630988335437744E-2</v>
      </c>
      <c r="O15" s="80">
        <f>+'Welles 2015, 2017'!O13</f>
        <v>3.3541019662496853E-6</v>
      </c>
      <c r="P15" s="56">
        <f>+'Welles 2015, 2017'!P13</f>
        <v>-0.10996999999999987</v>
      </c>
      <c r="Q15" s="56">
        <f>+'Welles 2015, 2017'!R13</f>
        <v>0.31914999999999993</v>
      </c>
      <c r="R15" s="58">
        <v>1.0114341112209602</v>
      </c>
      <c r="S15" s="58">
        <v>0.56729413046937072</v>
      </c>
      <c r="T15" s="58">
        <v>0.12884058806947205</v>
      </c>
      <c r="U15" s="58">
        <v>1.2658506987494991</v>
      </c>
      <c r="V15" s="58">
        <v>2.9999935683521808E-5</v>
      </c>
      <c r="W15" s="58">
        <v>0.18400695491285088</v>
      </c>
      <c r="X15" s="58">
        <v>4.6278875042519714E-2</v>
      </c>
      <c r="Y15" s="58">
        <v>5.4421148278373313E-2</v>
      </c>
      <c r="Z15" s="58">
        <v>1.440716221197751E-2</v>
      </c>
      <c r="AA15" s="58">
        <v>5.6913039840862704E-2</v>
      </c>
      <c r="AB15" s="58">
        <v>3.3541019645598512E-6</v>
      </c>
      <c r="AC15" s="58">
        <v>7.2041685480365566E-3</v>
      </c>
      <c r="AD15" s="59">
        <f t="shared" si="0"/>
        <v>2.3306520775812078E-11</v>
      </c>
      <c r="AE15" s="58">
        <f t="shared" si="1"/>
        <v>-2.2825213941146671E-11</v>
      </c>
      <c r="AG15" s="10"/>
      <c r="AH15" s="10"/>
    </row>
    <row r="16" spans="1:34">
      <c r="A16" s="53" t="str">
        <f>+'Welles 2015, 2017'!A14</f>
        <v>Zeng</v>
      </c>
      <c r="B16" s="54" t="str">
        <f>+'Welles 2015, 2017'!B14</f>
        <v>2003</v>
      </c>
      <c r="C16" s="53" t="str">
        <f>+'Welles 2015, 2017'!C14</f>
        <v>GAO</v>
      </c>
      <c r="D16" s="56">
        <f>+'Welles 2015, 2017'!D14</f>
        <v>20</v>
      </c>
      <c r="E16" s="56">
        <f>+'Welles 2015, 2017'!E14</f>
        <v>7</v>
      </c>
      <c r="F16" s="83">
        <f>+'Welles 2015, 2017'!F14</f>
        <v>1</v>
      </c>
      <c r="G16" s="56">
        <f>+'Welles 2015, 2017'!G14</f>
        <v>1.2</v>
      </c>
      <c r="H16" s="56">
        <f>+'Welles 2015, 2017'!H14</f>
        <v>0.52</v>
      </c>
      <c r="I16" s="56">
        <f>+'Welles 2015, 2017'!I14</f>
        <v>1.39</v>
      </c>
      <c r="J16" s="80">
        <f>+'Welles 2015, 2017'!J14</f>
        <v>3.0000000000000004E-5</v>
      </c>
      <c r="K16" s="87">
        <f>+'Welles 2015, 2017'!K14</f>
        <v>0.05</v>
      </c>
      <c r="L16" s="80">
        <f>+'Welles 2015, 2017'!L14</f>
        <v>0.13416407864998739</v>
      </c>
      <c r="M16" s="80">
        <f>+'Welles 2015, 2017'!M14</f>
        <v>5.8137767414994539E-2</v>
      </c>
      <c r="N16" s="80">
        <f>+'Welles 2015, 2017'!N14</f>
        <v>9.8287842584930105E-2</v>
      </c>
      <c r="O16" s="80">
        <f>+'Welles 2015, 2017'!O14</f>
        <v>1</v>
      </c>
      <c r="P16" s="56">
        <f>+'Welles 2015, 2017'!P14</f>
        <v>-0.28997000000000028</v>
      </c>
      <c r="Q16" s="56">
        <f>+'Welles 2015, 2017'!R14</f>
        <v>-4.8850000000000379E-2</v>
      </c>
      <c r="R16" s="58">
        <v>0.9999810000134135</v>
      </c>
      <c r="S16" s="58">
        <v>1.1998636614302902</v>
      </c>
      <c r="T16" s="58">
        <v>0.5200309124584015</v>
      </c>
      <c r="U16" s="58">
        <v>1.3900832109584398</v>
      </c>
      <c r="V16" s="58">
        <v>9.5711632563641232E-3</v>
      </c>
      <c r="W16" s="58">
        <v>0.28015937467562407</v>
      </c>
      <c r="X16" s="58">
        <v>4.9960927247072927E-2</v>
      </c>
      <c r="Y16" s="58">
        <v>0.13340734861211664</v>
      </c>
      <c r="Z16" s="58">
        <v>5.8049269740442874E-2</v>
      </c>
      <c r="AA16" s="58">
        <v>9.7911622302938636E-2</v>
      </c>
      <c r="AB16" s="58">
        <v>0.15327990749353282</v>
      </c>
      <c r="AC16" s="58">
        <v>3.0068783730496065E-2</v>
      </c>
      <c r="AD16" s="59">
        <f t="shared" si="0"/>
        <v>-3.7968866939408485E-10</v>
      </c>
      <c r="AE16" s="58">
        <f t="shared" si="1"/>
        <v>-9.487444163625014E-11</v>
      </c>
      <c r="AG16" s="10"/>
      <c r="AH16" s="10"/>
    </row>
    <row r="17" spans="1:34">
      <c r="A17" s="53" t="str">
        <f>+'Welles 2015, 2017'!A15</f>
        <v>Lopez-Vasquez</v>
      </c>
      <c r="B17" s="54" t="str">
        <f>+'Welles 2015, 2017'!B15</f>
        <v>2007</v>
      </c>
      <c r="C17" s="53" t="str">
        <f>+'Welles 2015, 2017'!C15</f>
        <v>GAO</v>
      </c>
      <c r="D17" s="56">
        <f>+'Welles 2015, 2017'!D15</f>
        <v>20</v>
      </c>
      <c r="E17" s="56">
        <f>+'Welles 2015, 2017'!E15</f>
        <v>7</v>
      </c>
      <c r="F17" s="83">
        <f>+'Welles 2015, 2017'!F15</f>
        <v>1</v>
      </c>
      <c r="G17" s="56">
        <f>+'Welles 2015, 2017'!G15</f>
        <v>1.1000000000000001</v>
      </c>
      <c r="H17" s="56">
        <f>+'Welles 2015, 2017'!H15</f>
        <v>0.69</v>
      </c>
      <c r="I17" s="56">
        <f>+'Welles 2015, 2017'!I15</f>
        <v>1.28</v>
      </c>
      <c r="J17" s="80">
        <f>+'Welles 2015, 2017'!J15</f>
        <v>3.0000000000000004E-5</v>
      </c>
      <c r="K17" s="87">
        <f>+'Welles 2015, 2017'!K15</f>
        <v>0.05</v>
      </c>
      <c r="L17" s="80">
        <f>+'Welles 2015, 2017'!L15</f>
        <v>0.12298373876248846</v>
      </c>
      <c r="M17" s="80">
        <f>+'Welles 2015, 2017'!M15</f>
        <v>7.7144345223742736E-2</v>
      </c>
      <c r="N17" s="80">
        <f>+'Welles 2015, 2017'!N15</f>
        <v>9.0509667991878096E-2</v>
      </c>
      <c r="O17" s="80">
        <f>+'Welles 2015, 2017'!O15</f>
        <v>3.3541019662496853E-6</v>
      </c>
      <c r="P17" s="56">
        <f>+'Welles 2015, 2017'!P15</f>
        <v>-0.12997000000000011</v>
      </c>
      <c r="Q17" s="56">
        <f>+'Welles 2015, 2017'!R15</f>
        <v>0.6721499999999988</v>
      </c>
      <c r="R17" s="58">
        <v>1.0114896778308196</v>
      </c>
      <c r="S17" s="58">
        <v>1.1695129051053756</v>
      </c>
      <c r="T17" s="58">
        <v>0.65717876284522292</v>
      </c>
      <c r="U17" s="58">
        <v>1.2376449488964461</v>
      </c>
      <c r="V17" s="58">
        <v>2.9999935370983053E-5</v>
      </c>
      <c r="W17" s="58">
        <v>0.28614887113627147</v>
      </c>
      <c r="X17" s="58">
        <v>4.8260349067390802E-2</v>
      </c>
      <c r="Y17" s="58">
        <v>9.4171217605027224E-2</v>
      </c>
      <c r="Z17" s="58">
        <v>6.7500826917975654E-2</v>
      </c>
      <c r="AA17" s="58">
        <v>7.6609544012115963E-2</v>
      </c>
      <c r="AB17" s="58">
        <v>3.3541019654434171E-6</v>
      </c>
      <c r="AC17" s="58">
        <v>1.3562962277132735E-2</v>
      </c>
      <c r="AD17" s="59">
        <f t="shared" si="0"/>
        <v>-3.7684844329290146E-10</v>
      </c>
      <c r="AE17" s="58">
        <f t="shared" si="1"/>
        <v>-1.2288364770185467E-10</v>
      </c>
      <c r="AG17" s="10"/>
      <c r="AH17" s="10"/>
    </row>
    <row r="18" spans="1:34">
      <c r="A18" s="53" t="str">
        <f>+'Welles 2015, 2017'!A16</f>
        <v>Welles</v>
      </c>
      <c r="B18" s="54" t="str">
        <f>+'Welles 2015, 2017'!B16</f>
        <v>2017</v>
      </c>
      <c r="C18" s="53" t="str">
        <f>+'Welles 2015, 2017'!C16</f>
        <v>PAO II</v>
      </c>
      <c r="D18" s="56">
        <f>+'Welles 2015, 2017'!D16</f>
        <v>20</v>
      </c>
      <c r="E18" s="56">
        <f>+'Welles 2015, 2017'!E16</f>
        <v>7</v>
      </c>
      <c r="F18" s="83">
        <f>+'Welles 2015, 2017'!F16</f>
        <v>1</v>
      </c>
      <c r="G18" s="56">
        <f>+'Welles 2015, 2017'!G16</f>
        <v>1.01</v>
      </c>
      <c r="H18" s="56">
        <f>+'Welles 2015, 2017'!H16</f>
        <v>0.32</v>
      </c>
      <c r="I18" s="56">
        <f>+'Welles 2015, 2017'!I16</f>
        <v>1.22</v>
      </c>
      <c r="J18" s="80">
        <f>+'Welles 2015, 2017'!J16</f>
        <v>3.0000000000000004E-5</v>
      </c>
      <c r="K18" s="87">
        <f>+'Welles 2015, 2017'!K16</f>
        <v>0.05</v>
      </c>
      <c r="L18" s="80">
        <f>+'Welles 2015, 2017'!L16</f>
        <v>0.11292143286373939</v>
      </c>
      <c r="M18" s="80">
        <f>+'Welles 2015, 2017'!M16</f>
        <v>3.5777087639996638E-2</v>
      </c>
      <c r="N18" s="80">
        <f>+'Welles 2015, 2017'!N16</f>
        <v>8.6267027304758812E-2</v>
      </c>
      <c r="O18" s="80">
        <f>+'Welles 2015, 2017'!O16</f>
        <v>1</v>
      </c>
      <c r="P18" s="56">
        <f>+'Welles 2015, 2017'!P16</f>
        <v>-0.46996999999999978</v>
      </c>
      <c r="Q18" s="56">
        <f>+'Welles 2015, 2017'!R16</f>
        <v>-1.0138499999999993</v>
      </c>
      <c r="R18" s="58">
        <v>0.99960131021933618</v>
      </c>
      <c r="S18" s="58">
        <v>1.0079666031668704</v>
      </c>
      <c r="T18" s="58">
        <v>0.32024500475891643</v>
      </c>
      <c r="U18" s="58">
        <v>1.2213357605165582</v>
      </c>
      <c r="V18" s="58">
        <v>0.1994169416601404</v>
      </c>
      <c r="W18" s="58">
        <v>0.26657020643238521</v>
      </c>
      <c r="X18" s="58">
        <v>4.9960654669984145E-2</v>
      </c>
      <c r="Y18" s="58">
        <v>0.11246745600957758</v>
      </c>
      <c r="Z18" s="58">
        <v>3.5756330282754052E-2</v>
      </c>
      <c r="AA18" s="58">
        <v>8.6010996755155736E-2</v>
      </c>
      <c r="AB18" s="58">
        <v>0.12917176617854725</v>
      </c>
      <c r="AC18" s="58">
        <v>2.6013547084205529E-2</v>
      </c>
      <c r="AD18" s="59">
        <f t="shared" si="0"/>
        <v>-7.6813888583160406E-11</v>
      </c>
      <c r="AE18" s="58">
        <f t="shared" si="1"/>
        <v>-1.8206214313920555E-11</v>
      </c>
      <c r="AG18" s="10"/>
      <c r="AH18" s="10"/>
    </row>
    <row r="19" spans="1:34">
      <c r="A19" s="53" t="str">
        <f>+'Welles 2015, 2017'!A17</f>
        <v>Welles</v>
      </c>
      <c r="B19" s="54" t="str">
        <f>+'Welles 2015, 2017'!B17</f>
        <v>2017</v>
      </c>
      <c r="C19" s="53" t="str">
        <f>+'Welles 2015, 2017'!C17</f>
        <v>PAO II</v>
      </c>
      <c r="D19" s="56">
        <f>+'Welles 2015, 2017'!D17</f>
        <v>20</v>
      </c>
      <c r="E19" s="56">
        <f>+'Welles 2015, 2017'!E17</f>
        <v>7</v>
      </c>
      <c r="F19" s="83">
        <f>+'Welles 2015, 2017'!F17</f>
        <v>1</v>
      </c>
      <c r="G19" s="56">
        <f>+'Welles 2015, 2017'!G17</f>
        <v>1.22</v>
      </c>
      <c r="H19" s="56">
        <f>+'Welles 2015, 2017'!H17</f>
        <v>0.26</v>
      </c>
      <c r="I19" s="56">
        <f>+'Welles 2015, 2017'!I17</f>
        <v>1.35</v>
      </c>
      <c r="J19" s="80">
        <f>+'Welles 2015, 2017'!J17</f>
        <v>3.0000000000000004E-5</v>
      </c>
      <c r="K19" s="87">
        <f>+'Welles 2015, 2017'!K17</f>
        <v>0.05</v>
      </c>
      <c r="L19" s="80">
        <f>+'Welles 2015, 2017'!L17</f>
        <v>0.13640014662748717</v>
      </c>
      <c r="M19" s="80">
        <f>+'Welles 2015, 2017'!M17</f>
        <v>2.9068883707497269E-2</v>
      </c>
      <c r="N19" s="80">
        <f>+'Welles 2015, 2017'!N17</f>
        <v>9.5459415460183938E-2</v>
      </c>
      <c r="O19" s="80">
        <f>+'Welles 2015, 2017'!O17</f>
        <v>1</v>
      </c>
      <c r="P19" s="56">
        <f>+'Welles 2015, 2017'!P17</f>
        <v>-0.60996999999999968</v>
      </c>
      <c r="Q19" s="56">
        <f>+'Welles 2015, 2017'!R17</f>
        <v>-1.5568499999999985</v>
      </c>
      <c r="R19" s="58">
        <v>0.99939056373918744</v>
      </c>
      <c r="S19" s="58">
        <v>1.2154645117881357</v>
      </c>
      <c r="T19" s="58">
        <v>0.26024722932210043</v>
      </c>
      <c r="U19" s="58">
        <v>1.3524995816570065</v>
      </c>
      <c r="V19" s="58">
        <v>0.30479709679201367</v>
      </c>
      <c r="W19" s="58">
        <v>0.29731116777107325</v>
      </c>
      <c r="X19" s="58">
        <v>4.9960835690979921E-2</v>
      </c>
      <c r="Y19" s="58">
        <v>0.13560296617616982</v>
      </c>
      <c r="Z19" s="58">
        <v>2.9057802413721561E-2</v>
      </c>
      <c r="AA19" s="58">
        <v>9.5113970076109777E-2</v>
      </c>
      <c r="AB19" s="58">
        <v>0.14562818136658806</v>
      </c>
      <c r="AC19" s="58">
        <v>3.0317796714634176E-2</v>
      </c>
      <c r="AD19" s="59">
        <f t="shared" si="0"/>
        <v>5.3386850495940052E-11</v>
      </c>
      <c r="AE19" s="58">
        <f t="shared" si="1"/>
        <v>1.4870826792190428E-11</v>
      </c>
      <c r="AG19" s="10"/>
      <c r="AH19" s="10"/>
    </row>
    <row r="20" spans="1:34">
      <c r="A20" s="53" t="str">
        <f>+'Welles 2015, 2017'!A18</f>
        <v>Welles</v>
      </c>
      <c r="B20" s="54" t="str">
        <f>+'Welles 2015, 2017'!B18</f>
        <v>2017</v>
      </c>
      <c r="C20" s="53" t="str">
        <f>+'Welles 2015, 2017'!C18</f>
        <v>PAO II</v>
      </c>
      <c r="D20" s="56">
        <f>+'Welles 2015, 2017'!D18</f>
        <v>20</v>
      </c>
      <c r="E20" s="56">
        <f>+'Welles 2015, 2017'!E18</f>
        <v>7</v>
      </c>
      <c r="F20" s="83">
        <f>+'Welles 2015, 2017'!F18</f>
        <v>1</v>
      </c>
      <c r="G20" s="56">
        <f>+'Welles 2015, 2017'!G18</f>
        <v>0.86</v>
      </c>
      <c r="H20" s="56">
        <f>+'Welles 2015, 2017'!H18</f>
        <v>0.19</v>
      </c>
      <c r="I20" s="56">
        <f>+'Welles 2015, 2017'!I18</f>
        <v>1.17</v>
      </c>
      <c r="J20" s="80">
        <f>+'Welles 2015, 2017'!J18</f>
        <v>3.0000000000000004E-5</v>
      </c>
      <c r="K20" s="87">
        <f>+'Welles 2015, 2017'!K18</f>
        <v>0.05</v>
      </c>
      <c r="L20" s="80">
        <f>+'Welles 2015, 2017'!L18</f>
        <v>9.6150923032490968E-2</v>
      </c>
      <c r="M20" s="80">
        <f>+'Welles 2015, 2017'!M18</f>
        <v>2.1242645786248009E-2</v>
      </c>
      <c r="N20" s="80">
        <f>+'Welles 2015, 2017'!N18</f>
        <v>8.2731493398826073E-2</v>
      </c>
      <c r="O20" s="80">
        <f>+'Welles 2015, 2017'!O18</f>
        <v>1</v>
      </c>
      <c r="P20" s="56">
        <f>+'Welles 2015, 2017'!P18</f>
        <v>-0.49997000000000003</v>
      </c>
      <c r="Q20" s="56">
        <f>+'Welles 2015, 2017'!R18</f>
        <v>-1.2628499999999998</v>
      </c>
      <c r="R20" s="58">
        <v>0.99950165991309503</v>
      </c>
      <c r="S20" s="58">
        <v>0.85815720797890038</v>
      </c>
      <c r="T20" s="58">
        <v>0.19010796031589758</v>
      </c>
      <c r="U20" s="58">
        <v>1.1715352187537027</v>
      </c>
      <c r="V20" s="58">
        <v>0.24924175554411646</v>
      </c>
      <c r="W20" s="58">
        <v>0.24677393329466757</v>
      </c>
      <c r="X20" s="58">
        <v>4.996051905698428E-2</v>
      </c>
      <c r="Y20" s="58">
        <v>9.5869852192073043E-2</v>
      </c>
      <c r="Z20" s="58">
        <v>2.1238286843291973E-2</v>
      </c>
      <c r="AA20" s="58">
        <v>8.2504903112434844E-2</v>
      </c>
      <c r="AB20" s="58">
        <v>0.11531483278779517</v>
      </c>
      <c r="AC20" s="58">
        <v>2.3081124472368743E-2</v>
      </c>
      <c r="AD20" s="59">
        <f t="shared" si="0"/>
        <v>6.0571991866709141E-11</v>
      </c>
      <c r="AE20" s="58">
        <f t="shared" si="1"/>
        <v>1.6388806978184789E-11</v>
      </c>
      <c r="AG20" s="10"/>
      <c r="AH20" s="10"/>
    </row>
    <row r="21" spans="1:34">
      <c r="A21" s="53" t="str">
        <f>+'Welles 2015, 2017'!A19</f>
        <v>Welles</v>
      </c>
      <c r="B21" s="54" t="str">
        <f>+'Welles 2015, 2017'!B19</f>
        <v>2017</v>
      </c>
      <c r="C21" s="53" t="str">
        <f>+'Welles 2015, 2017'!C19</f>
        <v>PAO II</v>
      </c>
      <c r="D21" s="56">
        <f>+'Welles 2015, 2017'!D19</f>
        <v>20</v>
      </c>
      <c r="E21" s="56">
        <f>+'Welles 2015, 2017'!E19</f>
        <v>7</v>
      </c>
      <c r="F21" s="83">
        <f>+'Welles 2015, 2017'!F19</f>
        <v>1</v>
      </c>
      <c r="G21" s="56">
        <f>+'Welles 2015, 2017'!G19</f>
        <v>1.02</v>
      </c>
      <c r="H21" s="56">
        <f>+'Welles 2015, 2017'!H19</f>
        <v>0.16</v>
      </c>
      <c r="I21" s="56">
        <f>+'Welles 2015, 2017'!I19</f>
        <v>1.07</v>
      </c>
      <c r="J21" s="80">
        <f>+'Welles 2015, 2017'!J19</f>
        <v>3.0000000000000004E-5</v>
      </c>
      <c r="K21" s="87">
        <f>+'Welles 2015, 2017'!K19</f>
        <v>0.05</v>
      </c>
      <c r="L21" s="80">
        <f>+'Welles 2015, 2017'!L19</f>
        <v>0.11403946685248929</v>
      </c>
      <c r="M21" s="80">
        <f>+'Welles 2015, 2017'!M19</f>
        <v>1.7888543819998319E-2</v>
      </c>
      <c r="N21" s="80">
        <f>+'Welles 2015, 2017'!N19</f>
        <v>7.5660425586960608E-2</v>
      </c>
      <c r="O21" s="80">
        <f>+'Welles 2015, 2017'!O19</f>
        <v>1</v>
      </c>
      <c r="P21" s="56">
        <f>+'Welles 2015, 2017'!P19</f>
        <v>-0.78997000000000006</v>
      </c>
      <c r="Q21" s="56">
        <f>+'Welles 2015, 2017'!R19</f>
        <v>-2.4968499999999998</v>
      </c>
      <c r="R21" s="58">
        <v>0.9990159729068806</v>
      </c>
      <c r="S21" s="58">
        <v>1.0148810818130254</v>
      </c>
      <c r="T21" s="58">
        <v>0.16015116247798475</v>
      </c>
      <c r="U21" s="58">
        <v>1.0725352512139597</v>
      </c>
      <c r="V21" s="58">
        <v>0.49209080176047931</v>
      </c>
      <c r="W21" s="58">
        <v>0.28911983933992225</v>
      </c>
      <c r="X21" s="58">
        <v>4.9960572693532712E-2</v>
      </c>
      <c r="Y21" s="58">
        <v>0.11357087744240736</v>
      </c>
      <c r="Z21" s="58">
        <v>1.7885944312188939E-2</v>
      </c>
      <c r="AA21" s="58">
        <v>7.5487391381310359E-2</v>
      </c>
      <c r="AB21" s="58">
        <v>0.1209856141333088</v>
      </c>
      <c r="AC21" s="58">
        <v>2.5865805175904234E-2</v>
      </c>
      <c r="AD21" s="59">
        <f t="shared" si="0"/>
        <v>2.7991831075269147E-10</v>
      </c>
      <c r="AE21" s="58">
        <f t="shared" si="1"/>
        <v>7.2439998444195908E-11</v>
      </c>
      <c r="AG21" s="10"/>
      <c r="AH21" s="10"/>
    </row>
    <row r="22" spans="1:34">
      <c r="A22" s="53" t="str">
        <f>+'Welles 2015, 2017'!A20</f>
        <v>Welles</v>
      </c>
      <c r="B22" s="54" t="str">
        <f>+'Welles 2015, 2017'!B20</f>
        <v>2017</v>
      </c>
      <c r="C22" s="53" t="str">
        <f>+'Welles 2015, 2017'!C20</f>
        <v>PAO II</v>
      </c>
      <c r="D22" s="56">
        <f>+'Welles 2015, 2017'!D20</f>
        <v>20</v>
      </c>
      <c r="E22" s="56">
        <f>+'Welles 2015, 2017'!E20</f>
        <v>7</v>
      </c>
      <c r="F22" s="83">
        <f>+'Welles 2015, 2017'!F20</f>
        <v>1</v>
      </c>
      <c r="G22" s="56">
        <f>+'Welles 2015, 2017'!G20</f>
        <v>0.89</v>
      </c>
      <c r="H22" s="56">
        <f>+'Welles 2015, 2017'!H20</f>
        <v>0.14000000000000001</v>
      </c>
      <c r="I22" s="56">
        <f>+'Welles 2015, 2017'!I20</f>
        <v>1</v>
      </c>
      <c r="J22" s="80">
        <f>+'Welles 2015, 2017'!J20</f>
        <v>3.0000000000000004E-5</v>
      </c>
      <c r="K22" s="87">
        <f>+'Welles 2015, 2017'!K20</f>
        <v>0.05</v>
      </c>
      <c r="L22" s="80">
        <f>+'Welles 2015, 2017'!L20</f>
        <v>9.9505024998740657E-2</v>
      </c>
      <c r="M22" s="80">
        <f>+'Welles 2015, 2017'!M20</f>
        <v>1.5652475842498532E-2</v>
      </c>
      <c r="N22" s="80">
        <f>+'Welles 2015, 2017'!N20</f>
        <v>7.0710678118654766E-2</v>
      </c>
      <c r="O22" s="80">
        <f>+'Welles 2015, 2017'!O20</f>
        <v>1</v>
      </c>
      <c r="P22" s="56">
        <f>+'Welles 2015, 2017'!P20</f>
        <v>-0.74997000000000003</v>
      </c>
      <c r="Q22" s="56">
        <f>+'Welles 2015, 2017'!R20</f>
        <v>-2.3878500000000007</v>
      </c>
      <c r="R22" s="58">
        <v>0.99905647260764685</v>
      </c>
      <c r="S22" s="58">
        <v>0.88626309946466131</v>
      </c>
      <c r="T22" s="58">
        <v>0.14011097013168164</v>
      </c>
      <c r="U22" s="58">
        <v>1.0021232346668494</v>
      </c>
      <c r="V22" s="58">
        <v>0.4718382151869514</v>
      </c>
      <c r="W22" s="58">
        <v>0.27124715215878953</v>
      </c>
      <c r="X22" s="58">
        <v>4.9960469726909248E-2</v>
      </c>
      <c r="Y22" s="58">
        <v>9.9193072074058183E-2</v>
      </c>
      <c r="Z22" s="58">
        <v>1.5650729832476923E-2</v>
      </c>
      <c r="AA22" s="58">
        <v>7.0569081544826537E-2</v>
      </c>
      <c r="AB22" s="58">
        <v>0.1098419071583724</v>
      </c>
      <c r="AC22" s="58">
        <v>2.3249580193977038E-2</v>
      </c>
      <c r="AD22" s="59">
        <f t="shared" si="0"/>
        <v>2.7841817740181796E-10</v>
      </c>
      <c r="AE22" s="58">
        <f t="shared" si="1"/>
        <v>7.1963768277782947E-11</v>
      </c>
      <c r="AG22" s="10"/>
      <c r="AH22" s="10"/>
    </row>
    <row r="23" spans="1:34">
      <c r="A23" s="53" t="str">
        <f>+'Welles 2015, 2017'!A21</f>
        <v>Welles</v>
      </c>
      <c r="B23" s="54" t="str">
        <f>+'Welles 2015, 2017'!B21</f>
        <v>2017</v>
      </c>
      <c r="C23" s="53" t="str">
        <f>+'Welles 2015, 2017'!C21</f>
        <v>PAO II</v>
      </c>
      <c r="D23" s="56">
        <f>+'Welles 2015, 2017'!D21</f>
        <v>20</v>
      </c>
      <c r="E23" s="56">
        <f>+'Welles 2015, 2017'!E21</f>
        <v>7</v>
      </c>
      <c r="F23" s="83">
        <f>+'Welles 2015, 2017'!F21</f>
        <v>1</v>
      </c>
      <c r="G23" s="56">
        <f>+'Welles 2015, 2017'!G21</f>
        <v>0.66</v>
      </c>
      <c r="H23" s="56">
        <f>+'Welles 2015, 2017'!H21</f>
        <v>0.12</v>
      </c>
      <c r="I23" s="56">
        <f>+'Welles 2015, 2017'!I21</f>
        <v>0.97</v>
      </c>
      <c r="J23" s="80">
        <f>+'Welles 2015, 2017'!J21</f>
        <v>3.0000000000000004E-5</v>
      </c>
      <c r="K23" s="87">
        <f>+'Welles 2015, 2017'!K21</f>
        <v>0.05</v>
      </c>
      <c r="L23" s="80">
        <f>+'Welles 2015, 2017'!L21</f>
        <v>7.3790243257493074E-2</v>
      </c>
      <c r="M23" s="80">
        <f>+'Welles 2015, 2017'!M21</f>
        <v>1.3416407864998739E-2</v>
      </c>
      <c r="N23" s="80">
        <f>+'Welles 2015, 2017'!N21</f>
        <v>6.8589357775095117E-2</v>
      </c>
      <c r="O23" s="80">
        <f>+'Welles 2015, 2017'!O21</f>
        <v>1</v>
      </c>
      <c r="P23" s="56">
        <f>+'Welles 2015, 2017'!P21</f>
        <v>-0.56997000000000009</v>
      </c>
      <c r="Q23" s="56">
        <f>+'Welles 2015, 2017'!R21</f>
        <v>-1.6988500000000006</v>
      </c>
      <c r="R23" s="58">
        <v>0.99932663982761705</v>
      </c>
      <c r="S23" s="58">
        <v>0.65853340639538815</v>
      </c>
      <c r="T23" s="58">
        <v>0.12005818589049673</v>
      </c>
      <c r="U23" s="58">
        <v>0.97142577950381948</v>
      </c>
      <c r="V23" s="58">
        <v>0.33674897700684137</v>
      </c>
      <c r="W23" s="58">
        <v>0.22962710386947088</v>
      </c>
      <c r="X23" s="58">
        <v>4.9960346225852985E-2</v>
      </c>
      <c r="Y23" s="58">
        <v>7.3662717571557332E-2</v>
      </c>
      <c r="Z23" s="58">
        <v>1.3415304968543025E-2</v>
      </c>
      <c r="AA23" s="58">
        <v>6.8459730486043258E-2</v>
      </c>
      <c r="AB23" s="58">
        <v>9.476266782165399E-2</v>
      </c>
      <c r="AC23" s="58">
        <v>1.9033233461289063E-2</v>
      </c>
      <c r="AD23" s="59">
        <f t="shared" si="0"/>
        <v>1.8375700960859831E-10</v>
      </c>
      <c r="AE23" s="58">
        <f t="shared" si="1"/>
        <v>4.7623183174749784E-11</v>
      </c>
      <c r="AG23" s="10"/>
      <c r="AH23" s="10"/>
    </row>
    <row r="24" spans="1:34" s="12" customFormat="1">
      <c r="A24" s="12" t="str">
        <f>'Lanham 2012'!A2</f>
        <v>Lanham</v>
      </c>
      <c r="B24" s="12" t="str">
        <f>'Lanham 2012'!B2</f>
        <v>2012</v>
      </c>
      <c r="C24" s="12" t="str">
        <f>'Lanham 2012'!C2</f>
        <v>EBPR sludge PAO</v>
      </c>
      <c r="D24" s="12" t="str">
        <f>'Lanham 2012'!D2</f>
        <v>????</v>
      </c>
      <c r="E24" s="12" t="str">
        <f>'Lanham 2012'!E2</f>
        <v>????</v>
      </c>
      <c r="F24" s="69">
        <f>'Lanham 2012'!F2</f>
        <v>1</v>
      </c>
      <c r="G24" s="51">
        <f>'Lanham 2012'!G2</f>
        <v>0.2</v>
      </c>
      <c r="H24" s="51">
        <f>'Lanham 2012'!H2</f>
        <v>0.15200000000000002</v>
      </c>
      <c r="I24" s="51">
        <f>'Lanham 2012'!I2</f>
        <v>0.63200000000000012</v>
      </c>
      <c r="J24" s="81">
        <f>'Lanham 2012'!J2</f>
        <v>1.6E-2</v>
      </c>
      <c r="K24" s="88">
        <f>'Lanham 2012'!K2</f>
        <v>1E-4</v>
      </c>
      <c r="L24" s="81">
        <f>'Lanham 2012'!L2</f>
        <v>0.1</v>
      </c>
      <c r="M24" s="81">
        <f>'Lanham 2012'!M2</f>
        <v>5.6804190420977896E-2</v>
      </c>
      <c r="N24" s="81">
        <f>'Lanham 2012'!N2</f>
        <v>0.15981239000778383</v>
      </c>
      <c r="O24" s="81">
        <f>'Lanham 2012'!O2</f>
        <v>1.6492422502470641E-2</v>
      </c>
      <c r="P24" s="51">
        <f>'Lanham 2012'!P2</f>
        <v>-0.39999999999999991</v>
      </c>
      <c r="Q24" s="51">
        <f>'Lanham 2012'!R2</f>
        <v>-1.146399999999999</v>
      </c>
      <c r="R24" s="60">
        <v>0.99999993953024213</v>
      </c>
      <c r="S24" s="60">
        <v>0.13953046578948469</v>
      </c>
      <c r="T24" s="60">
        <v>0.1754142529166898</v>
      </c>
      <c r="U24" s="60">
        <v>0.80574518838752462</v>
      </c>
      <c r="V24" s="60">
        <v>1.8055971876752449E-2</v>
      </c>
      <c r="W24" s="60">
        <v>0.14031499213876025</v>
      </c>
      <c r="X24" s="60">
        <v>9.9999989450489019E-5</v>
      </c>
      <c r="Y24" s="60">
        <v>8.8826240888374999E-2</v>
      </c>
      <c r="Z24" s="60">
        <v>5.3947953641716527E-2</v>
      </c>
      <c r="AA24" s="60">
        <v>9.0119706199560862E-2</v>
      </c>
      <c r="AB24" s="60">
        <v>1.6418311513158913E-2</v>
      </c>
      <c r="AC24" s="60">
        <v>1.1275405314640828E-2</v>
      </c>
      <c r="AD24" s="59">
        <f t="shared" si="0"/>
        <v>-1.5117319895896486E-10</v>
      </c>
      <c r="AE24" s="58">
        <f t="shared" si="1"/>
        <v>2.7755575615628914E-16</v>
      </c>
      <c r="AF24"/>
      <c r="AG24" s="10"/>
      <c r="AH24" s="10"/>
    </row>
    <row r="25" spans="1:34" s="12" customFormat="1">
      <c r="A25" s="12" t="str">
        <f>'Lanham 2012'!A3</f>
        <v>Lanham</v>
      </c>
      <c r="B25" s="12" t="str">
        <f>'Lanham 2012'!B3</f>
        <v>2012</v>
      </c>
      <c r="C25" s="12" t="str">
        <f>'Lanham 2012'!C3</f>
        <v>EBPR sludge PAO</v>
      </c>
      <c r="D25" s="12" t="str">
        <f>'Lanham 2012'!D3</f>
        <v>????</v>
      </c>
      <c r="E25" s="12" t="str">
        <f>'Lanham 2012'!E3</f>
        <v>????</v>
      </c>
      <c r="F25" s="69">
        <f>'Lanham 2012'!F3</f>
        <v>1</v>
      </c>
      <c r="G25" s="51">
        <f>'Lanham 2012'!G3</f>
        <v>0.1</v>
      </c>
      <c r="H25" s="51">
        <f>'Lanham 2012'!H3</f>
        <v>0.13500000000000004</v>
      </c>
      <c r="I25" s="51">
        <f>'Lanham 2012'!I3</f>
        <v>0.75600000000000001</v>
      </c>
      <c r="J25" s="81">
        <f>'Lanham 2012'!J3</f>
        <v>9.0000000000000011E-3</v>
      </c>
      <c r="K25" s="88">
        <f>'Lanham 2012'!K3</f>
        <v>1E-4</v>
      </c>
      <c r="L25" s="81">
        <f>'Lanham 2012'!L3</f>
        <v>1E-4</v>
      </c>
      <c r="M25" s="81">
        <f>'Lanham 2012'!M3</f>
        <v>6.750000166666667E-2</v>
      </c>
      <c r="N25" s="81">
        <f>'Lanham 2012'!N3</f>
        <v>6.3000055999975116E-2</v>
      </c>
      <c r="O25" s="81">
        <f>'Lanham 2012'!O3</f>
        <v>9.0005555384098401E-5</v>
      </c>
      <c r="P25" s="51">
        <f>'Lanham 2012'!P3</f>
        <v>-0.20000000000000007</v>
      </c>
      <c r="Q25" s="51">
        <f>'Lanham 2012'!R3</f>
        <v>-0.3050000000000001</v>
      </c>
      <c r="R25" s="60">
        <v>0.99999993417826927</v>
      </c>
      <c r="S25" s="60">
        <v>9.999993417848474E-2</v>
      </c>
      <c r="T25" s="60">
        <v>0.17098802485139819</v>
      </c>
      <c r="U25" s="60">
        <v>0.78539036015800934</v>
      </c>
      <c r="V25" s="60">
        <v>9.0000666527324594E-3</v>
      </c>
      <c r="W25" s="60">
        <v>0.13462141669442571</v>
      </c>
      <c r="X25" s="60">
        <v>9.9999956838153973E-5</v>
      </c>
      <c r="Y25" s="60">
        <v>9.9999956838171862E-5</v>
      </c>
      <c r="Z25" s="60">
        <v>4.4449165942624769E-2</v>
      </c>
      <c r="AA25" s="60">
        <v>4.7412407543537059E-2</v>
      </c>
      <c r="AB25" s="60">
        <v>9.0005506210942606E-5</v>
      </c>
      <c r="AC25" s="60">
        <v>2.9633655623441798E-3</v>
      </c>
      <c r="AD25" s="59">
        <f t="shared" si="0"/>
        <v>-1.6560005450250159E-10</v>
      </c>
      <c r="AE25" s="58">
        <f t="shared" si="1"/>
        <v>-1.8832158055204218E-13</v>
      </c>
      <c r="AF25"/>
    </row>
    <row r="26" spans="1:34" s="12" customFormat="1">
      <c r="A26" s="12" t="str">
        <f>'Lanham 2012'!A4</f>
        <v>Lanham</v>
      </c>
      <c r="B26" s="12" t="str">
        <f>'Lanham 2012'!B4</f>
        <v>2012</v>
      </c>
      <c r="C26" s="12" t="str">
        <f>'Lanham 2012'!C4</f>
        <v>EBPR sludge PAO/GAO</v>
      </c>
      <c r="D26" s="12" t="str">
        <f>'Lanham 2012'!D4</f>
        <v>????</v>
      </c>
      <c r="E26" s="12" t="str">
        <f>'Lanham 2012'!E4</f>
        <v>????</v>
      </c>
      <c r="F26" s="69">
        <f>'Lanham 2012'!F4</f>
        <v>1</v>
      </c>
      <c r="G26" s="51">
        <f>'Lanham 2012'!G4</f>
        <v>0.2</v>
      </c>
      <c r="H26" s="51">
        <f>'Lanham 2012'!H4</f>
        <v>0.48</v>
      </c>
      <c r="I26" s="51">
        <f>'Lanham 2012'!I4</f>
        <v>1.0720000000000001</v>
      </c>
      <c r="J26" s="81">
        <f>'Lanham 2012'!J4</f>
        <v>4.8000000000000001E-2</v>
      </c>
      <c r="K26" s="88">
        <f>'Lanham 2012'!K4</f>
        <v>1E-4</v>
      </c>
      <c r="L26" s="81">
        <f>'Lanham 2012'!L4</f>
        <v>1E-4</v>
      </c>
      <c r="M26" s="81">
        <f>'Lanham 2012'!M4</f>
        <v>0.18672342152885779</v>
      </c>
      <c r="N26" s="81">
        <f>'Lanham 2012'!N4</f>
        <v>0.402318281960937</v>
      </c>
      <c r="O26" s="81">
        <f>'Lanham 2012'!O4</f>
        <v>3.6715119501371643E-2</v>
      </c>
      <c r="P26" s="51">
        <f>'Lanham 2012'!P4</f>
        <v>0.40000000000000008</v>
      </c>
      <c r="Q26" s="51">
        <f>'Lanham 2012'!R4</f>
        <v>2.5679999999999996</v>
      </c>
      <c r="R26" s="60">
        <v>1.0000000249643652</v>
      </c>
      <c r="S26" s="60">
        <v>0.20000002496457955</v>
      </c>
      <c r="T26" s="60">
        <v>0.37555183580506146</v>
      </c>
      <c r="U26" s="60">
        <v>0.61741863590876622</v>
      </c>
      <c r="V26" s="60">
        <v>4.3793505264888836E-2</v>
      </c>
      <c r="W26" s="60">
        <v>0.16323607295022766</v>
      </c>
      <c r="X26" s="60">
        <v>9.9999998055739782E-5</v>
      </c>
      <c r="Y26" s="60">
        <v>9.9999998055759284E-5</v>
      </c>
      <c r="Z26" s="60">
        <v>0.16750758918818789</v>
      </c>
      <c r="AA26" s="60">
        <v>0.18145370638699493</v>
      </c>
      <c r="AB26" s="60">
        <v>3.656445818720077E-2</v>
      </c>
      <c r="AC26" s="60">
        <v>1.1711130309051243E-2</v>
      </c>
      <c r="AD26" s="59">
        <f t="shared" si="0"/>
        <v>6.2408328505014765E-11</v>
      </c>
      <c r="AE26" s="58">
        <f t="shared" si="1"/>
        <v>-5.2735593669694936E-16</v>
      </c>
      <c r="AF26"/>
    </row>
    <row r="27" spans="1:34" s="12" customFormat="1">
      <c r="A27" s="12" t="str">
        <f>'Lanham 2012'!A5</f>
        <v>Lanham</v>
      </c>
      <c r="B27" s="12" t="str">
        <f>'Lanham 2012'!B5</f>
        <v>2012</v>
      </c>
      <c r="C27" s="12" t="str">
        <f>'Lanham 2012'!C5</f>
        <v>EBPR sludge PAO/GAO</v>
      </c>
      <c r="D27" s="12" t="str">
        <f>'Lanham 2012'!D5</f>
        <v>????</v>
      </c>
      <c r="E27" s="12" t="str">
        <f>'Lanham 2012'!E5</f>
        <v>????</v>
      </c>
      <c r="F27" s="69">
        <f>'Lanham 2012'!F5</f>
        <v>1</v>
      </c>
      <c r="G27" s="51">
        <f>'Lanham 2012'!G5</f>
        <v>0.7</v>
      </c>
      <c r="H27" s="51">
        <f>'Lanham 2012'!H5</f>
        <v>0.57600000000000007</v>
      </c>
      <c r="I27" s="51">
        <f>'Lanham 2012'!I5</f>
        <v>1.2060000000000002</v>
      </c>
      <c r="J27" s="81">
        <f>'Lanham 2012'!J5</f>
        <v>1.8E-5</v>
      </c>
      <c r="K27" s="88">
        <f>'Lanham 2012'!K5</f>
        <v>1E-4</v>
      </c>
      <c r="L27" s="81">
        <f>'Lanham 2012'!L5</f>
        <v>0.2</v>
      </c>
      <c r="M27" s="81">
        <f>'Lanham 2012'!M5</f>
        <v>0.12800012656243745</v>
      </c>
      <c r="N27" s="81">
        <f>'Lanham 2012'!N5</f>
        <v>0.26800006044775443</v>
      </c>
      <c r="O27" s="81">
        <f>'Lanham 2012'!O5</f>
        <v>1.8439088914585778E-5</v>
      </c>
      <c r="P27" s="51">
        <f>'Lanham 2012'!P5</f>
        <v>8.2018000000000299E-2</v>
      </c>
      <c r="Q27" s="51">
        <f>'Lanham 2012'!R5</f>
        <v>1.3918900000000007</v>
      </c>
      <c r="R27" s="60">
        <v>1.0000000225232171</v>
      </c>
      <c r="S27" s="60">
        <v>0.79009422259145423</v>
      </c>
      <c r="T27" s="60">
        <v>0.53171735576277646</v>
      </c>
      <c r="U27" s="60">
        <v>1.0240097061421294</v>
      </c>
      <c r="V27" s="60">
        <v>1.7999042763297157E-5</v>
      </c>
      <c r="W27" s="60">
        <v>0.23434918416691075</v>
      </c>
      <c r="X27" s="60">
        <v>9.9999996763658363E-5</v>
      </c>
      <c r="Y27" s="60">
        <v>0.17217361460013364</v>
      </c>
      <c r="Z27" s="60">
        <v>0.11782198887801483</v>
      </c>
      <c r="AA27" s="60">
        <v>0.17194214819781292</v>
      </c>
      <c r="AB27" s="60">
        <v>1.8439088882883415E-5</v>
      </c>
      <c r="AC27" s="60">
        <v>2.2429504346867336E-2</v>
      </c>
      <c r="AD27" s="59">
        <f t="shared" si="0"/>
        <v>5.6040739486017815E-11</v>
      </c>
      <c r="AE27" s="58">
        <f t="shared" si="1"/>
        <v>-9.1537888380344157E-14</v>
      </c>
      <c r="AF27"/>
    </row>
    <row r="28" spans="1:34" s="12" customFormat="1">
      <c r="A28" s="12" t="str">
        <f>'Lanham 2012'!A6</f>
        <v>Lanham</v>
      </c>
      <c r="B28" s="12" t="str">
        <f>'Lanham 2012'!B6</f>
        <v>2012</v>
      </c>
      <c r="C28" s="12" t="str">
        <f>'Lanham 2012'!C6</f>
        <v>EBPR sludge PAO</v>
      </c>
      <c r="D28" s="12" t="str">
        <f>'Lanham 2012'!D6</f>
        <v>????</v>
      </c>
      <c r="E28" s="12" t="str">
        <f>'Lanham 2012'!E6</f>
        <v>????</v>
      </c>
      <c r="F28" s="69">
        <f>'Lanham 2012'!F6</f>
        <v>1</v>
      </c>
      <c r="G28" s="51">
        <f>'Lanham 2012'!G6</f>
        <v>0.3</v>
      </c>
      <c r="H28" s="51">
        <f>'Lanham 2012'!H6</f>
        <v>0.22100000000000003</v>
      </c>
      <c r="I28" s="51">
        <f>'Lanham 2012'!I6</f>
        <v>1.079</v>
      </c>
      <c r="J28" s="81">
        <f>'Lanham 2012'!J6</f>
        <v>1.3000000000000001E-5</v>
      </c>
      <c r="K28" s="88">
        <f>'Lanham 2012'!K6</f>
        <v>1E-4</v>
      </c>
      <c r="L28" s="81">
        <f>'Lanham 2012'!L6</f>
        <v>0.1</v>
      </c>
      <c r="M28" s="81">
        <f>'Lanham 2012'!M6</f>
        <v>0.10941663493271946</v>
      </c>
      <c r="N28" s="81">
        <f>'Lanham 2012'!N6</f>
        <v>0.19588772294352702</v>
      </c>
      <c r="O28" s="81">
        <f>'Lanham 2012'!O6</f>
        <v>1.3152946437965905E-5</v>
      </c>
      <c r="P28" s="51">
        <f>'Lanham 2012'!P6</f>
        <v>1.3000000000000001E-5</v>
      </c>
      <c r="Q28" s="51">
        <f>'Lanham 2012'!R6</f>
        <v>0.71636500000000036</v>
      </c>
      <c r="R28" s="60">
        <v>1.0000000236255644</v>
      </c>
      <c r="S28" s="60">
        <v>0.32362582696100922</v>
      </c>
      <c r="T28" s="60">
        <v>0.18705855555689468</v>
      </c>
      <c r="U28" s="60">
        <v>0.9770127418415947</v>
      </c>
      <c r="V28" s="60">
        <v>1.2999489097184098E-5</v>
      </c>
      <c r="W28" s="60">
        <v>0.15954155369908166</v>
      </c>
      <c r="X28" s="60">
        <v>9.9999993404068074E-5</v>
      </c>
      <c r="Y28" s="60">
        <v>9.3170902232970268E-2</v>
      </c>
      <c r="Z28" s="60">
        <v>9.6173194426464062E-2</v>
      </c>
      <c r="AA28" s="60">
        <v>0.11742528100068929</v>
      </c>
      <c r="AB28" s="60">
        <v>1.3152946414514631E-5</v>
      </c>
      <c r="AC28" s="60">
        <v>1.3279898348584895E-2</v>
      </c>
      <c r="AD28" s="59">
        <f t="shared" si="0"/>
        <v>5.9462307446618221E-11</v>
      </c>
      <c r="AE28" s="58">
        <f t="shared" si="1"/>
        <v>9.4535490546832079E-14</v>
      </c>
      <c r="AF28"/>
    </row>
    <row r="29" spans="1:34" s="12" customFormat="1">
      <c r="A29" s="12" t="str">
        <f>'Lanham 2012'!A7</f>
        <v>Lanham</v>
      </c>
      <c r="B29" s="12" t="str">
        <f>'Lanham 2012'!B7</f>
        <v>2012</v>
      </c>
      <c r="C29" s="12" t="str">
        <f>'Lanham 2012'!C7</f>
        <v>EBPR sludge PAO</v>
      </c>
      <c r="D29" s="12" t="str">
        <f>'Lanham 2012'!D7</f>
        <v>????</v>
      </c>
      <c r="E29" s="12" t="str">
        <f>'Lanham 2012'!E7</f>
        <v>????</v>
      </c>
      <c r="F29" s="69">
        <f>'Lanham 2012'!F7</f>
        <v>1</v>
      </c>
      <c r="G29" s="51">
        <f>'Lanham 2012'!G7</f>
        <v>0.4</v>
      </c>
      <c r="H29" s="51">
        <f>'Lanham 2012'!H7</f>
        <v>0.15714285714285717</v>
      </c>
      <c r="I29" s="51">
        <f>'Lanham 2012'!I7</f>
        <v>0.55000000000000004</v>
      </c>
      <c r="J29" s="81">
        <f>'Lanham 2012'!J7</f>
        <v>7.1428571428571435E-3</v>
      </c>
      <c r="K29" s="88">
        <f>'Lanham 2012'!K7</f>
        <v>1E-4</v>
      </c>
      <c r="L29" s="81">
        <f>'Lanham 2012'!L7</f>
        <v>1E-4</v>
      </c>
      <c r="M29" s="81">
        <f>'Lanham 2012'!M7</f>
        <v>4.4898027933620847E-2</v>
      </c>
      <c r="N29" s="81">
        <f>'Lanham 2012'!N7</f>
        <v>0.15714287337662258</v>
      </c>
      <c r="O29" s="81">
        <f>'Lanham 2012'!O7</f>
        <v>7.4286835604903253E-3</v>
      </c>
      <c r="P29" s="51">
        <f>'Lanham 2012'!P7</f>
        <v>-0.6857142857142855</v>
      </c>
      <c r="Q29" s="51">
        <f>'Lanham 2012'!R7</f>
        <v>-2.3349999999999995</v>
      </c>
      <c r="R29" s="60">
        <v>0.99999982952367172</v>
      </c>
      <c r="S29" s="60">
        <v>0.39999982952394847</v>
      </c>
      <c r="T29" s="60">
        <v>0.19838106254904914</v>
      </c>
      <c r="U29" s="60">
        <v>1.023594528567793</v>
      </c>
      <c r="V29" s="60">
        <v>8.3188313947566272E-3</v>
      </c>
      <c r="W29" s="60">
        <v>0.16970523653602099</v>
      </c>
      <c r="X29" s="60">
        <v>9.9999985398170358E-5</v>
      </c>
      <c r="Y29" s="60">
        <v>9.9999985398190538E-5</v>
      </c>
      <c r="Z29" s="60">
        <v>4.2952831503404253E-2</v>
      </c>
      <c r="AA29" s="60">
        <v>4.6427994825828607E-2</v>
      </c>
      <c r="AB29" s="60">
        <v>7.4193243986653747E-3</v>
      </c>
      <c r="AC29" s="60">
        <v>2.9677471434568377E-3</v>
      </c>
      <c r="AD29" s="59">
        <f t="shared" si="0"/>
        <v>-4.2619337919935774E-10</v>
      </c>
      <c r="AE29" s="58">
        <f t="shared" si="1"/>
        <v>-4.7184478546569153E-16</v>
      </c>
      <c r="AF29"/>
    </row>
    <row r="30" spans="1:34" s="12" customFormat="1">
      <c r="A30" s="12" t="str">
        <f>'Lanham 2012'!A8</f>
        <v>Lanham</v>
      </c>
      <c r="B30" s="12" t="str">
        <f>'Lanham 2012'!B8</f>
        <v>2012</v>
      </c>
      <c r="C30" s="12" t="str">
        <f>'Lanham 2012'!C8</f>
        <v>EBPR sludge PAO</v>
      </c>
      <c r="D30" s="12" t="str">
        <f>'Lanham 2012'!D8</f>
        <v>????</v>
      </c>
      <c r="E30" s="12" t="str">
        <f>'Lanham 2012'!E8</f>
        <v>????</v>
      </c>
      <c r="F30" s="69">
        <f>'Lanham 2012'!F8</f>
        <v>1</v>
      </c>
      <c r="G30" s="51">
        <f>'Lanham 2012'!G8</f>
        <v>0.2</v>
      </c>
      <c r="H30" s="51">
        <f>'Lanham 2012'!H8</f>
        <v>0.27777777777777779</v>
      </c>
      <c r="I30" s="51">
        <f>'Lanham 2012'!I8</f>
        <v>0.83333333333333326</v>
      </c>
      <c r="J30" s="81">
        <f>'Lanham 2012'!J8</f>
        <v>1.1111111111111112E-5</v>
      </c>
      <c r="K30" s="88">
        <f>'Lanham 2012'!K8</f>
        <v>1E-4</v>
      </c>
      <c r="L30" s="81">
        <f>'Lanham 2012'!L8</f>
        <v>0.1</v>
      </c>
      <c r="M30" s="81">
        <f>'Lanham 2012'!M8</f>
        <v>0.11751763593987422</v>
      </c>
      <c r="N30" s="81">
        <f>'Lanham 2012'!N8</f>
        <v>0.21046033548407958</v>
      </c>
      <c r="O30" s="81">
        <f>'Lanham 2012'!O8</f>
        <v>1.1382153650978875E-5</v>
      </c>
      <c r="P30" s="51">
        <f>'Lanham 2012'!P8</f>
        <v>-8.8877777777777792E-2</v>
      </c>
      <c r="Q30" s="51">
        <f>'Lanham 2012'!R8</f>
        <v>0.2833888888888883</v>
      </c>
      <c r="R30" s="60">
        <v>1.0000000082432281</v>
      </c>
      <c r="S30" s="60">
        <v>0.20824346230779961</v>
      </c>
      <c r="T30" s="60">
        <v>0.26411661097397227</v>
      </c>
      <c r="U30" s="60">
        <v>0.79225746548041831</v>
      </c>
      <c r="V30" s="60">
        <v>1.1110977618817002E-5</v>
      </c>
      <c r="W30" s="60">
        <v>0.15185828311907146</v>
      </c>
      <c r="X30" s="60">
        <v>9.9999994182394141E-5</v>
      </c>
      <c r="Y30" s="60">
        <v>9.4002565317483536E-2</v>
      </c>
      <c r="Z30" s="60">
        <v>0.10302821477514151</v>
      </c>
      <c r="AA30" s="60">
        <v>0.12410760260033349</v>
      </c>
      <c r="AB30" s="60">
        <v>1.1382153637574748E-5</v>
      </c>
      <c r="AC30" s="60">
        <v>1.3595443351297034E-2</v>
      </c>
      <c r="AD30" s="59">
        <f t="shared" si="0"/>
        <v>2.0932840096715699E-11</v>
      </c>
      <c r="AE30" s="58">
        <f t="shared" si="1"/>
        <v>5.3262949606391885E-14</v>
      </c>
      <c r="AF30"/>
    </row>
    <row r="31" spans="1:34">
      <c r="A31" t="str">
        <f>'Pijuan 2003'!A2</f>
        <v>Pijuan</v>
      </c>
      <c r="B31" t="str">
        <f>'Pijuan 2003'!B2</f>
        <v>2003</v>
      </c>
      <c r="C31" t="str">
        <f>'Pijuan 2003'!C2</f>
        <v>PAO</v>
      </c>
      <c r="D31" t="str">
        <f>'Pijuan 2003'!D2</f>
        <v>23-24</v>
      </c>
      <c r="E31" t="str">
        <f>'Pijuan 2003'!E2</f>
        <v>7.2-8.5</v>
      </c>
      <c r="F31" s="69">
        <f>'Pijuan 2003'!F2</f>
        <v>1</v>
      </c>
      <c r="G31" s="10">
        <f>'Pijuan 2003'!G2</f>
        <v>0.51</v>
      </c>
      <c r="H31" s="10">
        <f>'Pijuan 2003'!H2</f>
        <v>0.14000000000000001</v>
      </c>
      <c r="I31" s="10">
        <f>'Pijuan 2003'!I2</f>
        <v>0.93400000000000005</v>
      </c>
      <c r="J31" s="82">
        <f>'Pijuan 2003'!J2</f>
        <v>3.0000000000000004E-5</v>
      </c>
      <c r="K31" s="88">
        <f>'Pijuan 2003'!K2</f>
        <v>0.05</v>
      </c>
      <c r="L31" s="82">
        <f>'Pijuan 2003'!L2</f>
        <v>5.7019733426244647E-2</v>
      </c>
      <c r="M31" s="82">
        <f>'Pijuan 2003'!M2</f>
        <v>1.5652475842498532E-2</v>
      </c>
      <c r="N31" s="82">
        <f>'Pijuan 2003'!N2</f>
        <v>6.6043773362823549E-2</v>
      </c>
      <c r="O31" s="82">
        <f>'Pijuan 2003'!O2</f>
        <v>1</v>
      </c>
      <c r="P31" s="10">
        <f>'Pijuan 2003'!P2</f>
        <v>-0.43597000000000008</v>
      </c>
      <c r="Q31" s="10">
        <f>'Pijuan 2003'!R2</f>
        <v>-1.1648499999999999</v>
      </c>
      <c r="R31" s="59">
        <v>0.99953756947547634</v>
      </c>
      <c r="S31" s="59">
        <v>0.50939860720428731</v>
      </c>
      <c r="T31" s="59">
        <v>0.14005439004084125</v>
      </c>
      <c r="U31" s="59">
        <v>0.9349079097573807</v>
      </c>
      <c r="V31" s="59">
        <v>0.23127960813961893</v>
      </c>
      <c r="W31" s="59">
        <v>0.2026942687639019</v>
      </c>
      <c r="X31" s="59">
        <v>4.9960282368337515E-2</v>
      </c>
      <c r="Y31" s="59">
        <v>5.69608186602285E-2</v>
      </c>
      <c r="Z31" s="59">
        <v>1.5650721559997444E-2</v>
      </c>
      <c r="AA31" s="59">
        <v>6.5927873475788018E-2</v>
      </c>
      <c r="AB31" s="59">
        <v>8.593424957679259E-2</v>
      </c>
      <c r="AC31" s="59">
        <v>1.650226386713986E-2</v>
      </c>
      <c r="AD31" s="59">
        <f t="shared" si="0"/>
        <v>8.3292261976453119E-11</v>
      </c>
      <c r="AE31" s="58">
        <f t="shared" si="1"/>
        <v>2.1979279507533533E-11</v>
      </c>
    </row>
    <row r="32" spans="1:34">
      <c r="A32" t="str">
        <f>'Yagci 2003'!A2</f>
        <v>Yagci</v>
      </c>
      <c r="B32" t="str">
        <f>'Yagci 2003'!B2</f>
        <v>2003</v>
      </c>
      <c r="C32" t="str">
        <f>'Yagci 2003'!C2</f>
        <v>PAO / GAO</v>
      </c>
      <c r="D32" t="str">
        <f>'Yagci 2003'!D2</f>
        <v>????</v>
      </c>
      <c r="E32" t="str">
        <f>'Yagci 2003'!E2</f>
        <v>????</v>
      </c>
      <c r="F32" s="69">
        <f>'Yagci 2003'!F2</f>
        <v>1</v>
      </c>
      <c r="G32">
        <f>'Yagci 2003'!G2</f>
        <v>0.54</v>
      </c>
      <c r="H32">
        <f>'Yagci 2003'!H2</f>
        <v>0.17500000000000002</v>
      </c>
      <c r="I32">
        <f>'Yagci 2003'!I2</f>
        <v>0.98</v>
      </c>
      <c r="J32" s="82">
        <f>'Yagci 2003'!J2</f>
        <v>0.06</v>
      </c>
      <c r="K32" s="88">
        <f>'Yagci 2003'!K2</f>
        <v>0.05</v>
      </c>
      <c r="L32" s="82">
        <f>'Yagci 2003'!L2</f>
        <v>6.0373835392494329E-2</v>
      </c>
      <c r="M32" s="82">
        <f>'Yagci 2003'!M2</f>
        <v>1.9565594803123164E-2</v>
      </c>
      <c r="N32" s="82">
        <f>'Yagci 2003'!N2</f>
        <v>6.9296464556281676E-2</v>
      </c>
      <c r="O32" s="82">
        <f>'Yagci 2003'!O2</f>
        <v>6.7082039324993696E-3</v>
      </c>
      <c r="P32">
        <f>'Yagci 2003'!P2</f>
        <v>-0.32500000000000001</v>
      </c>
      <c r="Q32">
        <f>'Yagci 2003'!R2</f>
        <v>-0.6100000000000001</v>
      </c>
      <c r="R32" s="59">
        <v>0.9703171595822736</v>
      </c>
      <c r="S32" s="59">
        <v>0.49672243787066717</v>
      </c>
      <c r="T32" s="59">
        <v>0.18045423224743359</v>
      </c>
      <c r="U32" s="59">
        <v>1.044141944041584</v>
      </c>
      <c r="V32" s="59">
        <v>6.0667865291385119E-2</v>
      </c>
      <c r="W32" s="59">
        <v>0.18177555585173832</v>
      </c>
      <c r="X32" s="59">
        <v>4.487087195172372E-2</v>
      </c>
      <c r="Y32" s="59">
        <v>5.1093962406495344E-2</v>
      </c>
      <c r="Z32" s="59">
        <v>1.9141126787367062E-2</v>
      </c>
      <c r="AA32" s="59">
        <v>5.0297158726360064E-2</v>
      </c>
      <c r="AB32" s="59">
        <v>6.6898173561570837E-3</v>
      </c>
      <c r="AC32" s="59">
        <v>6.7557493656077352E-3</v>
      </c>
      <c r="AD32" s="59">
        <f t="shared" si="0"/>
        <v>-3.8002773150580538E-10</v>
      </c>
      <c r="AE32" s="58">
        <f t="shared" si="1"/>
        <v>-2.0799584277142458E-11</v>
      </c>
    </row>
    <row r="33" spans="1:31">
      <c r="A33" t="str">
        <f>'Yagci 2003'!A3</f>
        <v>Yagci</v>
      </c>
      <c r="B33" t="str">
        <f>'Yagci 2003'!B3</f>
        <v>2003</v>
      </c>
      <c r="C33" t="str">
        <f>'Yagci 2003'!C3</f>
        <v>PAO / GAO</v>
      </c>
      <c r="D33" t="str">
        <f>'Yagci 2003'!D3</f>
        <v>????</v>
      </c>
      <c r="E33" t="str">
        <f>'Yagci 2003'!E3</f>
        <v>????</v>
      </c>
      <c r="F33" s="69">
        <f>'Yagci 2003'!F3</f>
        <v>1</v>
      </c>
      <c r="G33">
        <f>'Yagci 2003'!G3</f>
        <v>0.51</v>
      </c>
      <c r="H33">
        <f>'Yagci 2003'!H3</f>
        <v>0.1</v>
      </c>
      <c r="I33">
        <f>'Yagci 2003'!I3</f>
        <v>1.04</v>
      </c>
      <c r="J33" s="82">
        <f>'Yagci 2003'!J3</f>
        <v>0.06</v>
      </c>
      <c r="K33" s="88">
        <f>'Yagci 2003'!K3</f>
        <v>0.05</v>
      </c>
      <c r="L33" s="82">
        <f>'Yagci 2003'!L3</f>
        <v>5.7019733426244647E-2</v>
      </c>
      <c r="M33" s="82">
        <f>'Yagci 2003'!M3</f>
        <v>1.1180339887498952E-2</v>
      </c>
      <c r="N33" s="82">
        <f>'Yagci 2003'!N3</f>
        <v>7.353910524340096E-2</v>
      </c>
      <c r="O33" s="82">
        <f>'Yagci 2003'!O3</f>
        <v>6.7082039324993696E-3</v>
      </c>
      <c r="P33">
        <f>'Yagci 2003'!P3</f>
        <v>-0.30999999999999989</v>
      </c>
      <c r="Q33">
        <f>'Yagci 2003'!R3</f>
        <v>-0.58000000000000074</v>
      </c>
      <c r="R33" s="59">
        <v>0.97178127809289871</v>
      </c>
      <c r="S33" s="59">
        <v>0.47330156771448156</v>
      </c>
      <c r="T33" s="59">
        <v>0.10169312714141578</v>
      </c>
      <c r="U33" s="59">
        <v>1.1086732798262571</v>
      </c>
      <c r="V33" s="59">
        <v>6.0634922685166584E-2</v>
      </c>
      <c r="W33" s="59">
        <v>0.17408151614840395</v>
      </c>
      <c r="X33" s="59">
        <v>4.4871702519470709E-2</v>
      </c>
      <c r="Y33" s="59">
        <v>4.9278608214565284E-2</v>
      </c>
      <c r="Z33" s="59">
        <v>1.1101733647914063E-2</v>
      </c>
      <c r="AA33" s="59">
        <v>5.0264981613827892E-2</v>
      </c>
      <c r="AB33" s="59">
        <v>6.6898201759205264E-3</v>
      </c>
      <c r="AC33" s="59">
        <v>6.4747208891086745E-3</v>
      </c>
      <c r="AD33" s="59">
        <f t="shared" si="0"/>
        <v>-3.0673524831215104E-10</v>
      </c>
      <c r="AE33" s="58">
        <f t="shared" si="1"/>
        <v>-6.1368687909180153E-12</v>
      </c>
    </row>
    <row r="34" spans="1:31">
      <c r="A34" t="str">
        <f>'Yagci 2003'!A4</f>
        <v>Yagci</v>
      </c>
      <c r="B34" t="str">
        <f>'Yagci 2003'!B4</f>
        <v>2003</v>
      </c>
      <c r="C34" t="str">
        <f>'Yagci 2003'!C4</f>
        <v>PAO / GAO</v>
      </c>
      <c r="D34" t="str">
        <f>'Yagci 2003'!D4</f>
        <v>????</v>
      </c>
      <c r="E34" t="str">
        <f>'Yagci 2003'!E4</f>
        <v>????</v>
      </c>
      <c r="F34" s="69">
        <f>'Yagci 2003'!F4</f>
        <v>1</v>
      </c>
      <c r="G34">
        <f>'Yagci 2003'!G4</f>
        <v>0.48</v>
      </c>
      <c r="H34">
        <f>'Yagci 2003'!H4</f>
        <v>0.15</v>
      </c>
      <c r="I34">
        <f>'Yagci 2003'!I4</f>
        <v>1.06</v>
      </c>
      <c r="J34" s="82">
        <f>'Yagci 2003'!J4</f>
        <v>0.06</v>
      </c>
      <c r="K34" s="88">
        <f>'Yagci 2003'!K4</f>
        <v>0.05</v>
      </c>
      <c r="L34" s="82">
        <f>'Yagci 2003'!L4</f>
        <v>5.3665631459994957E-2</v>
      </c>
      <c r="M34" s="82">
        <f>'Yagci 2003'!M4</f>
        <v>1.6770509831248424E-2</v>
      </c>
      <c r="N34" s="82">
        <f>'Yagci 2003'!N4</f>
        <v>7.495331880577405E-2</v>
      </c>
      <c r="O34" s="82">
        <f>'Yagci 2003'!O4</f>
        <v>6.7082039324993696E-3</v>
      </c>
      <c r="P34">
        <f>'Yagci 2003'!P4</f>
        <v>-0.21000000000000002</v>
      </c>
      <c r="Q34">
        <f>'Yagci 2003'!R4</f>
        <v>-0.12999999999999973</v>
      </c>
      <c r="R34" s="59">
        <v>0.99373346393375672</v>
      </c>
      <c r="S34" s="59">
        <v>0.47278095039422874</v>
      </c>
      <c r="T34" s="59">
        <v>0.15084599114378766</v>
      </c>
      <c r="U34" s="59">
        <v>1.0758426460718371</v>
      </c>
      <c r="V34" s="59">
        <v>6.0140998474848634E-2</v>
      </c>
      <c r="W34" s="59">
        <v>0.17968477862211599</v>
      </c>
      <c r="X34" s="59">
        <v>4.4921654818059355E-2</v>
      </c>
      <c r="Y34" s="59">
        <v>4.7331556091279293E-2</v>
      </c>
      <c r="Z34" s="59">
        <v>1.6506505644598334E-2</v>
      </c>
      <c r="AA34" s="59">
        <v>5.0369742827174518E-2</v>
      </c>
      <c r="AB34" s="59">
        <v>6.6899898884980593E-3</v>
      </c>
      <c r="AC34" s="59">
        <v>6.576640552173163E-3</v>
      </c>
      <c r="AD34" s="59">
        <f t="shared" si="0"/>
        <v>-1.2425049877862193E-10</v>
      </c>
      <c r="AE34" s="58">
        <f t="shared" si="1"/>
        <v>-1.5396017793989358E-11</v>
      </c>
    </row>
    <row r="35" spans="1:31">
      <c r="A35" t="str">
        <f>'Yagci 2003'!A5</f>
        <v>Yagci</v>
      </c>
      <c r="B35" t="str">
        <f>'Yagci 2003'!B5</f>
        <v>2003</v>
      </c>
      <c r="C35" t="str">
        <f>'Yagci 2003'!C5</f>
        <v>PAO / GAO</v>
      </c>
      <c r="D35" t="str">
        <f>'Yagci 2003'!D5</f>
        <v>????</v>
      </c>
      <c r="E35" t="str">
        <f>'Yagci 2003'!E5</f>
        <v>????</v>
      </c>
      <c r="F35" s="69">
        <f>'Yagci 2003'!F5</f>
        <v>1</v>
      </c>
      <c r="G35">
        <f>'Yagci 2003'!G5</f>
        <v>0.48</v>
      </c>
      <c r="H35">
        <f>'Yagci 2003'!H5</f>
        <v>0.125</v>
      </c>
      <c r="I35">
        <f>'Yagci 2003'!I5</f>
        <v>1.08</v>
      </c>
      <c r="J35" s="82">
        <f>'Yagci 2003'!J5</f>
        <v>0.03</v>
      </c>
      <c r="K35" s="88">
        <f>'Yagci 2003'!K5</f>
        <v>0.05</v>
      </c>
      <c r="L35" s="82">
        <f>'Yagci 2003'!L5</f>
        <v>5.3665631459994957E-2</v>
      </c>
      <c r="M35" s="82">
        <f>'Yagci 2003'!M5</f>
        <v>1.3975424859373687E-2</v>
      </c>
      <c r="N35" s="82">
        <f>'Yagci 2003'!N5</f>
        <v>7.6367532368147154E-2</v>
      </c>
      <c r="O35" s="82">
        <f>'Yagci 2003'!O5</f>
        <v>3.3541019662496848E-3</v>
      </c>
      <c r="P35">
        <f>'Yagci 2003'!P5</f>
        <v>-0.24499999999999991</v>
      </c>
      <c r="Q35">
        <f>'Yagci 2003'!R5</f>
        <v>-0.30999999999999994</v>
      </c>
      <c r="R35" s="59">
        <v>0.98516462386713999</v>
      </c>
      <c r="S35" s="59">
        <v>0.46290964634783216</v>
      </c>
      <c r="T35" s="59">
        <v>0.12639082242655411</v>
      </c>
      <c r="U35" s="59">
        <v>1.118934196939676</v>
      </c>
      <c r="V35" s="59">
        <v>3.0083449351793138E-2</v>
      </c>
      <c r="W35" s="59">
        <v>0.17266580147780716</v>
      </c>
      <c r="X35" s="59">
        <v>4.4960403665679646E-2</v>
      </c>
      <c r="Y35" s="59">
        <v>4.7380357460020874E-2</v>
      </c>
      <c r="Z35" s="59">
        <v>1.3824123317340098E-2</v>
      </c>
      <c r="AA35" s="59">
        <v>5.0357869076206485E-2</v>
      </c>
      <c r="AB35" s="59">
        <v>3.3518439688937441E-3</v>
      </c>
      <c r="AC35" s="59">
        <v>6.4510635580762258E-3</v>
      </c>
      <c r="AD35" s="59">
        <f t="shared" si="0"/>
        <v>-2.2492099849280578E-10</v>
      </c>
      <c r="AE35" s="58">
        <f t="shared" si="1"/>
        <v>-1.9141771501196558E-11</v>
      </c>
    </row>
    <row r="36" spans="1:31">
      <c r="A36" t="str">
        <f>'Yagci 2003'!A6</f>
        <v>Filipe</v>
      </c>
      <c r="B36" t="str">
        <f>'Yagci 2003'!B6</f>
        <v>2001</v>
      </c>
      <c r="C36" t="str">
        <f>'Yagci 2003'!C6</f>
        <v>GAO</v>
      </c>
      <c r="D36" t="str">
        <f>'Yagci 2003'!D6</f>
        <v>????</v>
      </c>
      <c r="E36" t="str">
        <f>'Yagci 2003'!E6</f>
        <v>????</v>
      </c>
      <c r="F36" s="69">
        <f>'Yagci 2003'!F6</f>
        <v>1</v>
      </c>
      <c r="G36">
        <f>'Yagci 2003'!G6</f>
        <v>0.99</v>
      </c>
      <c r="H36">
        <f>'Yagci 2003'!H6</f>
        <v>0.375</v>
      </c>
      <c r="I36">
        <f>'Yagci 2003'!I6</f>
        <v>1.36</v>
      </c>
      <c r="J36" s="82">
        <f>'Yagci 2003'!J6</f>
        <v>2.4E-2</v>
      </c>
      <c r="K36" s="88">
        <f>'Yagci 2003'!K6</f>
        <v>0.05</v>
      </c>
      <c r="L36" s="82">
        <f>'Yagci 2003'!L6</f>
        <v>0.1106853648862396</v>
      </c>
      <c r="M36" s="82">
        <f>'Yagci 2003'!M6</f>
        <v>4.1926274578121064E-2</v>
      </c>
      <c r="N36" s="82">
        <f>'Yagci 2003'!N6</f>
        <v>9.6166522241370483E-2</v>
      </c>
      <c r="O36" s="82">
        <f>'Yagci 2003'!O6</f>
        <v>2.6832815729997479E-3</v>
      </c>
      <c r="P36">
        <f>'Yagci 2003'!P6</f>
        <v>-0.2309999999999999</v>
      </c>
      <c r="Q36">
        <f>'Yagci 2003'!R6</f>
        <v>7.999999999999996E-2</v>
      </c>
      <c r="R36" s="59">
        <v>1.0017242868178609</v>
      </c>
      <c r="S36" s="59">
        <v>0.99844990667188638</v>
      </c>
      <c r="T36" s="59">
        <v>0.37354519407531428</v>
      </c>
      <c r="U36" s="59">
        <v>1.3528246395242198</v>
      </c>
      <c r="V36" s="59">
        <v>2.3993792850650262E-2</v>
      </c>
      <c r="W36" s="59">
        <v>0.24981056696394249</v>
      </c>
      <c r="X36" s="59">
        <v>4.7796127415144572E-2</v>
      </c>
      <c r="Y36" s="59">
        <v>8.411488520820698E-2</v>
      </c>
      <c r="Z36" s="59">
        <v>4.0054630458731984E-2</v>
      </c>
      <c r="AA36" s="59">
        <v>7.4264738728520102E-2</v>
      </c>
      <c r="AB36" s="59">
        <v>2.6827610269471035E-3</v>
      </c>
      <c r="AC36" s="59">
        <v>1.0615709688551517E-2</v>
      </c>
      <c r="AD36" s="59">
        <f t="shared" si="0"/>
        <v>-2.8523962358750765E-10</v>
      </c>
      <c r="AE36" s="58">
        <f t="shared" si="1"/>
        <v>-7.5620371076112747E-11</v>
      </c>
    </row>
    <row r="37" spans="1:31">
      <c r="A37" t="str">
        <f>'Yagci 2003'!A7</f>
        <v>Zeng</v>
      </c>
      <c r="B37" t="str">
        <f>'Yagci 2003'!B7</f>
        <v>2002</v>
      </c>
      <c r="C37" t="str">
        <f>'Yagci 2003'!C7</f>
        <v>GAO</v>
      </c>
      <c r="D37" t="str">
        <f>'Yagci 2003'!D7</f>
        <v>????</v>
      </c>
      <c r="E37" t="str">
        <f>'Yagci 2003'!E7</f>
        <v>????</v>
      </c>
      <c r="F37" s="69">
        <f>'Yagci 2003'!F7</f>
        <v>1</v>
      </c>
      <c r="G37">
        <f>'Yagci 2003'!G7</f>
        <v>1.17</v>
      </c>
      <c r="H37">
        <f>'Yagci 2003'!H7</f>
        <v>0.47499999999999998</v>
      </c>
      <c r="I37">
        <f>'Yagci 2003'!I7</f>
        <v>1.36</v>
      </c>
      <c r="J37" s="82">
        <f>'Yagci 2003'!J7</f>
        <v>4.2000000000000003E-2</v>
      </c>
      <c r="K37" s="88">
        <f>'Yagci 2003'!K7</f>
        <v>0.05</v>
      </c>
      <c r="L37" s="82">
        <f>'Yagci 2003'!L7</f>
        <v>0.1308099766837377</v>
      </c>
      <c r="M37" s="82">
        <f>'Yagci 2003'!M7</f>
        <v>5.3106614465620011E-2</v>
      </c>
      <c r="N37" s="82">
        <f>'Yagci 2003'!N7</f>
        <v>9.6166522241370483E-2</v>
      </c>
      <c r="O37" s="82">
        <f>'Yagci 2003'!O7</f>
        <v>4.695742752749559E-3</v>
      </c>
      <c r="P37">
        <f>'Yagci 2003'!P7</f>
        <v>-0.29299999999999976</v>
      </c>
      <c r="Q37">
        <f>'Yagci 2003'!R7</f>
        <v>-7.0000000000000229E-2</v>
      </c>
      <c r="R37" s="59">
        <v>0.99876453843896107</v>
      </c>
      <c r="S37" s="59">
        <v>1.1615442880569722</v>
      </c>
      <c r="T37" s="59">
        <v>0.47667258543661922</v>
      </c>
      <c r="U37" s="59">
        <v>1.3651419524955466</v>
      </c>
      <c r="V37" s="59">
        <v>4.2013621861407086E-2</v>
      </c>
      <c r="W37" s="59">
        <v>0.27648066661770804</v>
      </c>
      <c r="X37" s="59">
        <v>4.8202733363075415E-2</v>
      </c>
      <c r="Y37" s="59">
        <v>9.4036631898326464E-2</v>
      </c>
      <c r="Z37" s="59">
        <v>4.9968567851944E-2</v>
      </c>
      <c r="AA37" s="59">
        <v>7.8684645797581318E-2</v>
      </c>
      <c r="AB37" s="59">
        <v>4.6934578634708103E-3</v>
      </c>
      <c r="AC37" s="59">
        <v>1.2145094599854783E-2</v>
      </c>
      <c r="AD37" s="59">
        <f t="shared" si="0"/>
        <v>-3.5096517359001211E-10</v>
      </c>
      <c r="AE37" s="58">
        <f t="shared" si="1"/>
        <v>-8.4652229670467705E-11</v>
      </c>
    </row>
    <row r="38" spans="1:31">
      <c r="A38" t="str">
        <f>'Yagci 2003'!A8</f>
        <v>Pereira</v>
      </c>
      <c r="B38" t="str">
        <f>'Yagci 2003'!B8</f>
        <v>1996</v>
      </c>
      <c r="C38" t="str">
        <f>'Yagci 2003'!C8</f>
        <v>????</v>
      </c>
      <c r="D38" t="str">
        <f>'Yagci 2003'!D8</f>
        <v>????</v>
      </c>
      <c r="E38" t="str">
        <f>'Yagci 2003'!E8</f>
        <v>????</v>
      </c>
      <c r="F38" s="69">
        <f>'Yagci 2003'!F8</f>
        <v>1</v>
      </c>
      <c r="G38">
        <f>'Yagci 2003'!G8</f>
        <v>0.69000000000000006</v>
      </c>
      <c r="H38">
        <f>'Yagci 2003'!H8</f>
        <v>0.44999999999999996</v>
      </c>
      <c r="I38">
        <f>'Yagci 2003'!I8</f>
        <v>1.02</v>
      </c>
      <c r="J38" s="82">
        <f>'Yagci 2003'!J8</f>
        <v>3.0000000000000004E-5</v>
      </c>
      <c r="K38" s="88">
        <f>'Yagci 2003'!K8</f>
        <v>0.05</v>
      </c>
      <c r="L38" s="82">
        <f>'Yagci 2003'!L8</f>
        <v>7.7144345223742763E-2</v>
      </c>
      <c r="M38" s="82">
        <f>'Yagci 2003'!M8</f>
        <v>5.0311529493745268E-2</v>
      </c>
      <c r="N38" s="82">
        <f>'Yagci 2003'!N8</f>
        <v>7.2124891681027856E-2</v>
      </c>
      <c r="O38" s="82">
        <f>'Yagci 2003'!O8</f>
        <v>1</v>
      </c>
      <c r="P38">
        <f>'Yagci 2003'!P8</f>
        <v>-0.21996999999999997</v>
      </c>
      <c r="Q38">
        <f>'Yagci 2003'!R8</f>
        <v>-9.849999999999786E-3</v>
      </c>
      <c r="R38" s="59">
        <v>0.99999616699830962</v>
      </c>
      <c r="S38" s="59">
        <v>0.68999094264453653</v>
      </c>
      <c r="T38" s="59">
        <v>0.4500047055163674</v>
      </c>
      <c r="U38" s="59">
        <v>1.0200091835966969</v>
      </c>
      <c r="V38" s="59">
        <v>1.97690511480219E-3</v>
      </c>
      <c r="W38" s="59">
        <v>0.21799631533157088</v>
      </c>
      <c r="X38" s="59">
        <v>4.996045967252194E-2</v>
      </c>
      <c r="Y38" s="59">
        <v>7.6999032543356993E-2</v>
      </c>
      <c r="Z38" s="59">
        <v>5.0253501366566582E-2</v>
      </c>
      <c r="AA38" s="59">
        <v>7.1974580756912432E-2</v>
      </c>
      <c r="AB38" s="59">
        <v>0.10869213662802595</v>
      </c>
      <c r="AC38" s="59">
        <v>1.9760730148878965E-2</v>
      </c>
      <c r="AD38" s="59">
        <f t="shared" si="0"/>
        <v>-3.3367489847557774E-10</v>
      </c>
      <c r="AE38" s="58">
        <f t="shared" si="1"/>
        <v>-8.3408890905189992E-11</v>
      </c>
    </row>
    <row r="39" spans="1:31">
      <c r="A39" t="str">
        <f>'Yagci 2003'!A9</f>
        <v>Hesselman</v>
      </c>
      <c r="B39" t="str">
        <f>'Yagci 2003'!B9</f>
        <v>2000</v>
      </c>
      <c r="C39" t="str">
        <f>'Yagci 2003'!C9</f>
        <v>????</v>
      </c>
      <c r="D39" t="str">
        <f>'Yagci 2003'!D9</f>
        <v>????</v>
      </c>
      <c r="E39" t="str">
        <f>'Yagci 2003'!E9</f>
        <v>????</v>
      </c>
      <c r="F39" s="69">
        <f>'Yagci 2003'!F9</f>
        <v>1</v>
      </c>
      <c r="G39">
        <f>'Yagci 2003'!G9</f>
        <v>0.60000000000000009</v>
      </c>
      <c r="H39">
        <f>'Yagci 2003'!H9</f>
        <v>0.3</v>
      </c>
      <c r="I39">
        <f>'Yagci 2003'!I9</f>
        <v>1.1200000000000001</v>
      </c>
      <c r="J39" s="82">
        <f>'Yagci 2003'!J9</f>
        <v>3.0000000000000004E-5</v>
      </c>
      <c r="K39" s="88">
        <f>'Yagci 2003'!K9</f>
        <v>0.05</v>
      </c>
      <c r="L39" s="82">
        <f>'Yagci 2003'!L9</f>
        <v>6.7082039324993709E-2</v>
      </c>
      <c r="M39" s="82">
        <f>'Yagci 2003'!M9</f>
        <v>3.3541019662496847E-2</v>
      </c>
      <c r="N39" s="82">
        <f>'Yagci 2003'!N9</f>
        <v>7.9195959492893347E-2</v>
      </c>
      <c r="O39" s="82">
        <f>'Yagci 2003'!O9</f>
        <v>3.3541019662496853E-6</v>
      </c>
      <c r="P39">
        <f>'Yagci 2003'!P9</f>
        <v>-0.17996999999999994</v>
      </c>
      <c r="Q39">
        <f>'Yagci 2003'!R9</f>
        <v>8.0150000000000068E-2</v>
      </c>
      <c r="R39" s="59">
        <v>1.0030254022086231</v>
      </c>
      <c r="S39" s="59">
        <v>0.60544573206087793</v>
      </c>
      <c r="T39" s="59">
        <v>0.29836631449522305</v>
      </c>
      <c r="U39" s="59">
        <v>1.1114613838644749</v>
      </c>
      <c r="V39" s="59">
        <v>2.9999982982472789E-5</v>
      </c>
      <c r="W39" s="59">
        <v>0.19861343587046629</v>
      </c>
      <c r="X39" s="59">
        <v>4.6071021721733017E-2</v>
      </c>
      <c r="Y39" s="59">
        <v>5.7245318102288639E-2</v>
      </c>
      <c r="Z39" s="59">
        <v>3.1858002629748E-2</v>
      </c>
      <c r="AA39" s="59">
        <v>5.7141647472195765E-2</v>
      </c>
      <c r="AB39" s="59">
        <v>3.3541019644693131E-6</v>
      </c>
      <c r="AC39" s="59">
        <v>7.9278814715506261E-3</v>
      </c>
      <c r="AD39" s="59">
        <f t="shared" si="0"/>
        <v>-1.9588399161724578E-10</v>
      </c>
      <c r="AE39" s="58">
        <f t="shared" si="1"/>
        <v>-5.6354282351733787E-11</v>
      </c>
    </row>
    <row r="40" spans="1:31">
      <c r="A40" t="str">
        <f>'Carvalheira 2014'!A2</f>
        <v>Carvalheira</v>
      </c>
      <c r="B40" t="str">
        <f>'Carvalheira 2014'!B2</f>
        <v>2014</v>
      </c>
      <c r="C40" t="str">
        <f>'Carvalheira 2014'!C2</f>
        <v>PAO</v>
      </c>
      <c r="D40">
        <f>'Carvalheira 2014'!D2</f>
        <v>20</v>
      </c>
      <c r="E40" t="str">
        <f>'Carvalheira 2014'!E2</f>
        <v>7.2-7.5</v>
      </c>
      <c r="F40" s="69">
        <f>'Carvalheira 2014'!F2</f>
        <v>1</v>
      </c>
      <c r="G40">
        <f>'Carvalheira 2014'!G2</f>
        <v>0.28999999999999998</v>
      </c>
      <c r="H40">
        <f>'Carvalheira 2014'!H2</f>
        <v>0.18000000000000002</v>
      </c>
      <c r="I40">
        <f>'Carvalheira 2014'!I2</f>
        <v>1.2</v>
      </c>
      <c r="J40" s="82">
        <f>'Carvalheira 2014'!J2</f>
        <v>0.01</v>
      </c>
      <c r="K40" s="88">
        <f>'Carvalheira 2014'!K2</f>
        <v>0.05</v>
      </c>
      <c r="L40" s="82">
        <f>'Carvalheira 2014'!L2</f>
        <v>0.05</v>
      </c>
      <c r="M40" s="82">
        <f>'Carvalheira 2014'!M2</f>
        <v>2.0000249998437521E-2</v>
      </c>
      <c r="N40" s="82">
        <f>'Carvalheira 2014'!N2</f>
        <v>0.14000000000000001</v>
      </c>
      <c r="O40" s="82">
        <f>'Carvalheira 2014'!O2</f>
        <v>0.02</v>
      </c>
      <c r="P40">
        <f>'Carvalheira 2014'!P2</f>
        <v>9.9999999999999853E-2</v>
      </c>
      <c r="Q40">
        <f>'Carvalheira 2014'!R2</f>
        <v>1.1539999999999992</v>
      </c>
      <c r="R40" s="59">
        <v>1.0232607453925886</v>
      </c>
      <c r="S40" s="59">
        <v>0.31326075528018593</v>
      </c>
      <c r="T40" s="59">
        <v>0.17553383548990009</v>
      </c>
      <c r="U40" s="59">
        <v>0.99484095142843443</v>
      </c>
      <c r="V40" s="59">
        <v>5.347862203251421E-3</v>
      </c>
      <c r="W40" s="59">
        <v>0.16079885151919548</v>
      </c>
      <c r="X40" s="59">
        <v>4.7941991640566554E-2</v>
      </c>
      <c r="Y40" s="59">
        <v>4.7941991797424789E-2</v>
      </c>
      <c r="Z40" s="59">
        <v>1.9813609141520697E-2</v>
      </c>
      <c r="AA40" s="59">
        <v>6.2607697149891256E-2</v>
      </c>
      <c r="AB40" s="59">
        <v>1.9797408284707264E-2</v>
      </c>
      <c r="AC40" s="59">
        <v>7.8346023015559759E-3</v>
      </c>
      <c r="AD40" s="59">
        <f t="shared" si="0"/>
        <v>1.0463436714291952E-10</v>
      </c>
      <c r="AE40" s="58">
        <f t="shared" si="1"/>
        <v>-3.1993213633896289E-11</v>
      </c>
    </row>
    <row r="41" spans="1:31">
      <c r="A41" t="str">
        <f>+'Acevedo 2012'!A2</f>
        <v>Acevedo</v>
      </c>
      <c r="B41" t="str">
        <f>+'Acevedo 2012'!B2</f>
        <v>2012</v>
      </c>
      <c r="C41" t="str">
        <f>+'Acevedo 2012'!C2</f>
        <v>PAO</v>
      </c>
      <c r="D41" t="str">
        <f>+'Acevedo 2012'!D2</f>
        <v>????</v>
      </c>
      <c r="E41" t="str">
        <f>+'Acevedo 2012'!E2</f>
        <v>????</v>
      </c>
      <c r="F41" s="69">
        <f>+'Acevedo 2012'!F2</f>
        <v>1</v>
      </c>
      <c r="G41" s="10">
        <f>+'Acevedo 2012'!G2</f>
        <v>0.38</v>
      </c>
      <c r="H41" s="10">
        <f>+'Acevedo 2012'!H2</f>
        <v>0.05</v>
      </c>
      <c r="I41" s="10">
        <f>+'Acevedo 2012'!I2</f>
        <v>1.31</v>
      </c>
      <c r="J41" s="82">
        <f>+'Acevedo 2012'!J2</f>
        <v>3.0000000000000004E-5</v>
      </c>
      <c r="K41" s="88">
        <f>+'Acevedo 2012'!K2</f>
        <v>0.05</v>
      </c>
      <c r="L41" s="82">
        <f>+'Acevedo 2012'!L2</f>
        <v>4.2485291572496017E-2</v>
      </c>
      <c r="M41" s="82">
        <f>+'Acevedo 2012'!M2</f>
        <v>5.590169943749476E-3</v>
      </c>
      <c r="N41" s="82">
        <f>+'Acevedo 2012'!N2</f>
        <v>9.2630988335437744E-2</v>
      </c>
      <c r="O41" s="82">
        <f>+'Acevedo 2012'!O2</f>
        <v>3.3541019662496853E-6</v>
      </c>
      <c r="P41">
        <f>+'Acevedo 2012'!P2</f>
        <v>-1.9969999999999797E-2</v>
      </c>
      <c r="Q41">
        <f>+'Acevedo 2012'!R2</f>
        <v>0.61515000000000108</v>
      </c>
      <c r="R41" s="59">
        <v>1.02527793917559</v>
      </c>
      <c r="S41" s="59">
        <v>0.39825066825330208</v>
      </c>
      <c r="T41" s="59">
        <v>4.9620831934467681E-2</v>
      </c>
      <c r="U41" s="59">
        <v>1.2123965416398232</v>
      </c>
      <c r="V41" s="59">
        <v>2.9999857811968341E-5</v>
      </c>
      <c r="W41" s="59">
        <v>0.16148123399311126</v>
      </c>
      <c r="X41" s="59">
        <v>4.5706433487937063E-2</v>
      </c>
      <c r="Y41" s="59">
        <v>3.9884745420921811E-2</v>
      </c>
      <c r="Z41" s="59">
        <v>5.5818941668299756E-3</v>
      </c>
      <c r="AA41" s="59">
        <v>4.9538254875841355E-2</v>
      </c>
      <c r="AB41" s="59">
        <v>3.354101964311488E-6</v>
      </c>
      <c r="AC41" s="59">
        <v>6.1968350524755963E-3</v>
      </c>
      <c r="AD41" s="59">
        <f t="shared" si="0"/>
        <v>2.3814100523359208E-10</v>
      </c>
      <c r="AE41" s="58">
        <f t="shared" si="1"/>
        <v>-3.6777525469489092E-12</v>
      </c>
    </row>
    <row r="42" spans="1:31">
      <c r="A42" t="str">
        <f>+'Acevedo 2012'!A3</f>
        <v>Acevedo</v>
      </c>
      <c r="B42" t="str">
        <f>+'Acevedo 2012'!B3</f>
        <v>2012</v>
      </c>
      <c r="C42" t="str">
        <f>+'Acevedo 2012'!C3</f>
        <v>PAO I</v>
      </c>
      <c r="D42" t="str">
        <f>+'Acevedo 2012'!D3</f>
        <v>????</v>
      </c>
      <c r="E42" t="str">
        <f>+'Acevedo 2012'!E3</f>
        <v>????</v>
      </c>
      <c r="F42" s="69">
        <f>+'Acevedo 2012'!F3</f>
        <v>1</v>
      </c>
      <c r="G42" s="10">
        <f>+'Acevedo 2012'!G3</f>
        <v>0.35</v>
      </c>
      <c r="H42" s="10">
        <f>+'Acevedo 2012'!H3</f>
        <v>0.06</v>
      </c>
      <c r="I42" s="10">
        <f>+'Acevedo 2012'!I3</f>
        <v>1.3</v>
      </c>
      <c r="J42" s="82">
        <f>+'Acevedo 2012'!J3</f>
        <v>3.0000000000000004E-5</v>
      </c>
      <c r="K42" s="88">
        <f>+'Acevedo 2012'!K3</f>
        <v>0.05</v>
      </c>
      <c r="L42" s="82">
        <f>+'Acevedo 2012'!L3</f>
        <v>3.9131189606246314E-2</v>
      </c>
      <c r="M42" s="82">
        <f>+'Acevedo 2012'!M3</f>
        <v>6.7082039324993696E-3</v>
      </c>
      <c r="N42" s="82">
        <f>+'Acevedo 2012'!N3</f>
        <v>9.1923881554251199E-2</v>
      </c>
      <c r="O42" s="82">
        <f>+'Acevedo 2012'!O3</f>
        <v>3.3541019662496853E-6</v>
      </c>
      <c r="P42">
        <f>+'Acevedo 2012'!P3</f>
        <v>1.0030000000000009E-2</v>
      </c>
      <c r="Q42">
        <f>+'Acevedo 2012'!R3</f>
        <v>0.73815000000000042</v>
      </c>
      <c r="R42" s="59">
        <v>1.0311917978023328</v>
      </c>
      <c r="S42" s="59">
        <v>0.36910498339501313</v>
      </c>
      <c r="T42" s="59">
        <v>5.9326258583519961E-2</v>
      </c>
      <c r="U42" s="59">
        <v>1.1813935743957216</v>
      </c>
      <c r="V42" s="59">
        <v>2.9999824546505952E-5</v>
      </c>
      <c r="W42" s="59">
        <v>0.1595469483942201</v>
      </c>
      <c r="X42" s="59">
        <v>4.5578876454139244E-2</v>
      </c>
      <c r="Y42" s="59">
        <v>3.7050259696066477E-2</v>
      </c>
      <c r="Z42" s="59">
        <v>6.6934929157411518E-3</v>
      </c>
      <c r="AA42" s="59">
        <v>4.8374712734238497E-2</v>
      </c>
      <c r="AB42" s="59">
        <v>3.354101964256566E-6</v>
      </c>
      <c r="AC42" s="59">
        <v>6.0515394328747914E-3</v>
      </c>
      <c r="AD42" s="59">
        <f t="shared" si="0"/>
        <v>3.1499161552749413E-10</v>
      </c>
      <c r="AE42" s="58">
        <f t="shared" si="1"/>
        <v>6.6219252303767462E-13</v>
      </c>
    </row>
    <row r="43" spans="1:31">
      <c r="A43" t="str">
        <f>+'Acevedo 2012'!A4</f>
        <v>Acevedo</v>
      </c>
      <c r="B43" t="str">
        <f>+'Acevedo 2012'!B4</f>
        <v>2012</v>
      </c>
      <c r="C43" t="str">
        <f>+'Acevedo 2012'!C4</f>
        <v>PAO</v>
      </c>
      <c r="D43" t="str">
        <f>+'Acevedo 2012'!D4</f>
        <v>????</v>
      </c>
      <c r="E43" t="str">
        <f>+'Acevedo 2012'!E4</f>
        <v>????</v>
      </c>
      <c r="F43" s="69">
        <f>+'Acevedo 2012'!F4</f>
        <v>1</v>
      </c>
      <c r="G43" s="10">
        <f>+'Acevedo 2012'!G4</f>
        <v>0.51</v>
      </c>
      <c r="H43" s="10">
        <f>+'Acevedo 2012'!H4</f>
        <v>0.09</v>
      </c>
      <c r="I43" s="10">
        <f>+'Acevedo 2012'!I4</f>
        <v>1.37</v>
      </c>
      <c r="J43" s="82">
        <f>+'Acevedo 2012'!J4</f>
        <v>3.0000000000000004E-5</v>
      </c>
      <c r="K43" s="88">
        <f>+'Acevedo 2012'!K4</f>
        <v>0.05</v>
      </c>
      <c r="L43" s="82">
        <f>+'Acevedo 2012'!L4</f>
        <v>5.7019733426244647E-2</v>
      </c>
      <c r="M43" s="82">
        <f>+'Acevedo 2012'!M4</f>
        <v>1.0062305898749053E-2</v>
      </c>
      <c r="N43" s="82">
        <f>+'Acevedo 2012'!N4</f>
        <v>9.6873629022557042E-2</v>
      </c>
      <c r="O43" s="82">
        <f>+'Acevedo 2012'!O4</f>
        <v>3.3541019662496853E-6</v>
      </c>
      <c r="P43">
        <f>+'Acevedo 2012'!P4</f>
        <v>-4.996999999999982E-2</v>
      </c>
      <c r="Q43">
        <f>+'Acevedo 2012'!R4</f>
        <v>0.55715000000000126</v>
      </c>
      <c r="R43" s="59">
        <v>1.0195912145529553</v>
      </c>
      <c r="S43" s="59">
        <v>0.53547839304134048</v>
      </c>
      <c r="T43" s="59">
        <v>8.9047870420075545E-2</v>
      </c>
      <c r="U43" s="59">
        <v>1.2872663673408842</v>
      </c>
      <c r="V43" s="59">
        <v>2.9999889799819738E-5</v>
      </c>
      <c r="W43" s="59">
        <v>0.17872536992523294</v>
      </c>
      <c r="X43" s="59">
        <v>4.635050235755947E-2</v>
      </c>
      <c r="Y43" s="59">
        <v>5.1541600703562389E-2</v>
      </c>
      <c r="Z43" s="59">
        <v>1.0020951103951551E-2</v>
      </c>
      <c r="AA43" s="59">
        <v>5.5799035225225418E-2</v>
      </c>
      <c r="AB43" s="59">
        <v>3.3541019645911449E-6</v>
      </c>
      <c r="AC43" s="59">
        <v>7.0040991561873657E-3</v>
      </c>
      <c r="AD43" s="59">
        <f t="shared" si="0"/>
        <v>1.2215697800087993E-10</v>
      </c>
      <c r="AE43" s="58">
        <f t="shared" si="1"/>
        <v>-1.8303414339726487E-11</v>
      </c>
    </row>
    <row r="44" spans="1:31">
      <c r="A44" t="str">
        <f>+'Acevedo 2012'!A5</f>
        <v>Acevedo</v>
      </c>
      <c r="B44" t="str">
        <f>+'Acevedo 2012'!B5</f>
        <v>2012</v>
      </c>
      <c r="C44" t="str">
        <f>+'Acevedo 2012'!C5</f>
        <v>PAO</v>
      </c>
      <c r="D44" t="str">
        <f>+'Acevedo 2012'!D5</f>
        <v>????</v>
      </c>
      <c r="E44" t="str">
        <f>+'Acevedo 2012'!E5</f>
        <v>????</v>
      </c>
      <c r="F44" s="69">
        <f>+'Acevedo 2012'!F5</f>
        <v>1</v>
      </c>
      <c r="G44" s="10">
        <f>+'Acevedo 2012'!G5</f>
        <v>0.66</v>
      </c>
      <c r="H44" s="10">
        <f>+'Acevedo 2012'!H5</f>
        <v>0.08</v>
      </c>
      <c r="I44" s="10">
        <f>+'Acevedo 2012'!I5</f>
        <v>1.53</v>
      </c>
      <c r="J44" s="82">
        <f>+'Acevedo 2012'!J5</f>
        <v>3.0000000000000004E-5</v>
      </c>
      <c r="K44" s="88">
        <f>+'Acevedo 2012'!K5</f>
        <v>0.05</v>
      </c>
      <c r="L44" s="82">
        <f>+'Acevedo 2012'!L5</f>
        <v>7.3790243257493074E-2</v>
      </c>
      <c r="M44" s="82">
        <f>+'Acevedo 2012'!M5</f>
        <v>8.9442719099991595E-3</v>
      </c>
      <c r="N44" s="82">
        <f>+'Acevedo 2012'!N5</f>
        <v>0.10818733752154179</v>
      </c>
      <c r="O44" s="82">
        <f>+'Acevedo 2012'!O5</f>
        <v>3.3541019662496853E-6</v>
      </c>
      <c r="P44">
        <f>+'Acevedo 2012'!P5</f>
        <v>-4.9970000000000042E-2</v>
      </c>
      <c r="Q44">
        <f>+'Acevedo 2012'!R5</f>
        <v>0.62914999999999954</v>
      </c>
      <c r="R44" s="59">
        <v>1.0171909485792743</v>
      </c>
      <c r="S44" s="59">
        <v>0.69744192305194641</v>
      </c>
      <c r="T44" s="59">
        <v>7.9339870663423892E-2</v>
      </c>
      <c r="U44" s="59">
        <v>1.439455579542771</v>
      </c>
      <c r="V44" s="59">
        <v>2.9999903301362094E-5</v>
      </c>
      <c r="W44" s="59">
        <v>0.19580742150818109</v>
      </c>
      <c r="X44" s="59">
        <v>4.7188565371874339E-2</v>
      </c>
      <c r="Y44" s="59">
        <v>6.4411484404088795E-2</v>
      </c>
      <c r="Z44" s="59">
        <v>8.9217202284886735E-3</v>
      </c>
      <c r="AA44" s="59">
        <v>6.4221602933328403E-2</v>
      </c>
      <c r="AB44" s="59">
        <v>3.3541019649608959E-6</v>
      </c>
      <c r="AC44" s="59">
        <v>8.0538671860751164E-3</v>
      </c>
      <c r="AD44" s="59">
        <f t="shared" si="0"/>
        <v>1.1852870377901392E-10</v>
      </c>
      <c r="AE44" s="58">
        <f t="shared" si="1"/>
        <v>-1.3543360877221744E-11</v>
      </c>
    </row>
    <row r="45" spans="1:31">
      <c r="A45" t="str">
        <f>+'Acevedo 2012'!A6</f>
        <v>Acevedo</v>
      </c>
      <c r="B45" t="str">
        <f>+'Acevedo 2012'!B6</f>
        <v>2012</v>
      </c>
      <c r="C45" t="str">
        <f>+'Acevedo 2012'!C6</f>
        <v>PAO</v>
      </c>
      <c r="D45" t="str">
        <f>+'Acevedo 2012'!D6</f>
        <v>????</v>
      </c>
      <c r="E45" t="str">
        <f>+'Acevedo 2012'!E6</f>
        <v>????</v>
      </c>
      <c r="F45" s="69">
        <f>+'Acevedo 2012'!F6</f>
        <v>1</v>
      </c>
      <c r="G45" s="10">
        <f>+'Acevedo 2012'!G6</f>
        <v>1.08</v>
      </c>
      <c r="H45" s="10">
        <f>+'Acevedo 2012'!H6</f>
        <v>0.28000000000000003</v>
      </c>
      <c r="I45" s="10">
        <f>+'Acevedo 2012'!I6</f>
        <v>1.74</v>
      </c>
      <c r="J45" s="82">
        <f>+'Acevedo 2012'!J6</f>
        <v>3.0000000000000004E-5</v>
      </c>
      <c r="K45" s="88">
        <f>+'Acevedo 2012'!K6</f>
        <v>0.05</v>
      </c>
      <c r="L45" s="82">
        <f>+'Acevedo 2012'!L6</f>
        <v>0.12074767078498866</v>
      </c>
      <c r="M45" s="82">
        <f>+'Acevedo 2012'!M6</f>
        <v>3.1304951684997064E-2</v>
      </c>
      <c r="N45" s="82">
        <f>+'Acevedo 2012'!N6</f>
        <v>0.12303657992645929</v>
      </c>
      <c r="O45" s="82">
        <f>+'Acevedo 2012'!O6</f>
        <v>3.3541019662496853E-6</v>
      </c>
      <c r="P45">
        <f>+'Acevedo 2012'!P6</f>
        <v>-5.9970000000000051E-2</v>
      </c>
      <c r="Q45">
        <f>+'Acevedo 2012'!R6</f>
        <v>0.85415000000000008</v>
      </c>
      <c r="R45" s="59">
        <v>1.0141790921160325</v>
      </c>
      <c r="S45" s="59">
        <v>1.1626927004363554</v>
      </c>
      <c r="T45" s="59">
        <v>0.27333019374611967</v>
      </c>
      <c r="U45" s="59">
        <v>1.6434116090130249</v>
      </c>
      <c r="V45" s="59">
        <v>2.9999920243129253E-5</v>
      </c>
      <c r="W45" s="59">
        <v>0.26009998982060412</v>
      </c>
      <c r="X45" s="59">
        <v>4.8311473577360611E-2</v>
      </c>
      <c r="Y45" s="59">
        <v>9.4519417938537464E-2</v>
      </c>
      <c r="Z45" s="59">
        <v>3.0712664451139286E-2</v>
      </c>
      <c r="AA45" s="59">
        <v>8.6224982008712897E-2</v>
      </c>
      <c r="AB45" s="59">
        <v>3.3541019654667046E-6</v>
      </c>
      <c r="AC45" s="59">
        <v>1.1282813131341595E-2</v>
      </c>
      <c r="AD45" s="59">
        <f t="shared" si="0"/>
        <v>-6.8349657585207307E-11</v>
      </c>
      <c r="AE45" s="58">
        <f t="shared" si="1"/>
        <v>-5.2396198491067025E-11</v>
      </c>
    </row>
    <row r="46" spans="1:31">
      <c r="A46" t="str">
        <f>+'Acevedo 2012'!A7</f>
        <v>Acevedo</v>
      </c>
      <c r="B46" t="str">
        <f>+'Acevedo 2012'!B7</f>
        <v>2012</v>
      </c>
      <c r="C46" t="str">
        <f>+'Acevedo 2012'!C7</f>
        <v>PAO I</v>
      </c>
      <c r="D46" t="str">
        <f>+'Acevedo 2012'!D7</f>
        <v>????</v>
      </c>
      <c r="E46" t="str">
        <f>+'Acevedo 2012'!E7</f>
        <v>????</v>
      </c>
      <c r="F46" s="69">
        <f>+'Acevedo 2012'!F7</f>
        <v>1</v>
      </c>
      <c r="G46" s="10">
        <f>+'Acevedo 2012'!G7</f>
        <v>0.35</v>
      </c>
      <c r="H46" s="10">
        <f>+'Acevedo 2012'!H7</f>
        <v>0.1</v>
      </c>
      <c r="I46" s="10">
        <f>+'Acevedo 2012'!I7</f>
        <v>1.2</v>
      </c>
      <c r="J46" s="82">
        <f>+'Acevedo 2012'!J7</f>
        <v>3.0000000000000004E-5</v>
      </c>
      <c r="K46" s="88">
        <f>+'Acevedo 2012'!K7</f>
        <v>0.05</v>
      </c>
      <c r="L46" s="82">
        <f>+'Acevedo 2012'!L7</f>
        <v>3.9131189606246314E-2</v>
      </c>
      <c r="M46" s="82">
        <f>+'Acevedo 2012'!M7</f>
        <v>1.1180339887498952E-2</v>
      </c>
      <c r="N46" s="82">
        <f>+'Acevedo 2012'!N7</f>
        <v>8.4852813742385721E-2</v>
      </c>
      <c r="O46" s="82">
        <f>+'Acevedo 2012'!O7</f>
        <v>3.3541019662496853E-6</v>
      </c>
      <c r="P46">
        <f>+'Acevedo 2012'!P7</f>
        <v>-4.9970000000000042E-2</v>
      </c>
      <c r="Q46">
        <f>+'Acevedo 2012'!R7</f>
        <v>0.48014999999999952</v>
      </c>
      <c r="R46" s="59">
        <v>1.0225233010457269</v>
      </c>
      <c r="S46" s="59">
        <v>0.36379552983632885</v>
      </c>
      <c r="T46" s="59">
        <v>9.8648605677974371E-2</v>
      </c>
      <c r="U46" s="59">
        <v>1.1270248926964734</v>
      </c>
      <c r="V46" s="59">
        <v>2.9999873306785806E-5</v>
      </c>
      <c r="W46" s="59">
        <v>0.16061533263470637</v>
      </c>
      <c r="X46" s="59">
        <v>4.5065652818609796E-2</v>
      </c>
      <c r="Y46" s="59">
        <v>3.6813980105552112E-2</v>
      </c>
      <c r="Z46" s="59">
        <v>1.1104561489877131E-2</v>
      </c>
      <c r="AA46" s="59">
        <v>4.7704414466000482E-2</v>
      </c>
      <c r="AB46" s="59">
        <v>3.3541019640371391E-6</v>
      </c>
      <c r="AC46" s="59">
        <v>5.994248598062385E-3</v>
      </c>
      <c r="AD46" s="59">
        <f t="shared" si="0"/>
        <v>2.2671820269683923E-10</v>
      </c>
      <c r="AE46" s="58">
        <f t="shared" si="1"/>
        <v>4.0512038168571962E-13</v>
      </c>
    </row>
    <row r="47" spans="1:31">
      <c r="A47" t="str">
        <f>+'Acevedo 2012'!A8</f>
        <v>Jeon</v>
      </c>
      <c r="B47" t="str">
        <f>+'Acevedo 2012'!B8</f>
        <v>2001</v>
      </c>
      <c r="C47" t="str">
        <f>+'Acevedo 2012'!C8</f>
        <v>PAO</v>
      </c>
      <c r="D47" t="str">
        <f>+'Acevedo 2012'!D8</f>
        <v>????</v>
      </c>
      <c r="E47" t="str">
        <f>+'Acevedo 2012'!E8</f>
        <v>????</v>
      </c>
      <c r="F47" s="69">
        <f>+'Acevedo 2012'!F8</f>
        <v>1</v>
      </c>
      <c r="G47" s="10">
        <f>+'Acevedo 2012'!G8</f>
        <v>0.45</v>
      </c>
      <c r="H47" s="10">
        <f>+'Acevedo 2012'!H8</f>
        <v>0.27</v>
      </c>
      <c r="I47" s="10">
        <f>+'Acevedo 2012'!I8</f>
        <v>1.4</v>
      </c>
      <c r="J47" s="82">
        <f>+'Acevedo 2012'!J8</f>
        <v>3.0000000000000004E-5</v>
      </c>
      <c r="K47" s="88">
        <f>+'Acevedo 2012'!K8</f>
        <v>0.05</v>
      </c>
      <c r="L47" s="82">
        <f>+'Acevedo 2012'!L8</f>
        <v>5.0311529493745274E-2</v>
      </c>
      <c r="M47" s="82">
        <f>+'Acevedo 2012'!M8</f>
        <v>3.0186917696247165E-2</v>
      </c>
      <c r="N47" s="82">
        <f>+'Acevedo 2012'!N8</f>
        <v>9.899494936611665E-2</v>
      </c>
      <c r="O47" s="82">
        <f>+'Acevedo 2012'!O8</f>
        <v>3.3541019662496853E-6</v>
      </c>
      <c r="P47">
        <f>+'Acevedo 2012'!P8</f>
        <v>0.22002999999999998</v>
      </c>
      <c r="Q47">
        <f>+'Acevedo 2012'!R8</f>
        <v>1.7961500000000004</v>
      </c>
      <c r="R47" s="59">
        <v>1.0598827097081505</v>
      </c>
      <c r="S47" s="59">
        <v>0.51063124574072916</v>
      </c>
      <c r="T47" s="59">
        <v>0.24380733161844434</v>
      </c>
      <c r="U47" s="59">
        <v>1.1359179182494108</v>
      </c>
      <c r="V47" s="59">
        <v>2.9999663160122314E-5</v>
      </c>
      <c r="W47" s="59">
        <v>0.19075870587109728</v>
      </c>
      <c r="X47" s="59">
        <v>4.6546815446323775E-2</v>
      </c>
      <c r="Y47" s="59">
        <v>4.6791762387117922E-2</v>
      </c>
      <c r="Z47" s="59">
        <v>2.9111259693654846E-2</v>
      </c>
      <c r="AA47" s="59">
        <v>5.7585733271444825E-2</v>
      </c>
      <c r="AB47" s="59">
        <v>3.354101964677164E-6</v>
      </c>
      <c r="AC47" s="59">
        <v>7.3183513694000564E-3</v>
      </c>
      <c r="AD47" s="59">
        <f t="shared" si="0"/>
        <v>4.1116395539469129E-10</v>
      </c>
      <c r="AE47" s="58">
        <f t="shared" si="1"/>
        <v>-4.676706244488571E-11</v>
      </c>
    </row>
    <row r="48" spans="1:31">
      <c r="A48" t="str">
        <f>+'Acevedo 2012'!A9</f>
        <v>Jeon</v>
      </c>
      <c r="B48" t="str">
        <f>+'Acevedo 2012'!B9</f>
        <v>2001</v>
      </c>
      <c r="C48" t="str">
        <f>+'Acevedo 2012'!C9</f>
        <v>GAO</v>
      </c>
      <c r="D48" t="str">
        <f>+'Acevedo 2012'!D9</f>
        <v>????</v>
      </c>
      <c r="E48" t="str">
        <f>+'Acevedo 2012'!E9</f>
        <v>????</v>
      </c>
      <c r="F48" s="69">
        <f>+'Acevedo 2012'!F9</f>
        <v>1</v>
      </c>
      <c r="G48" s="10">
        <f>+'Acevedo 2012'!G9</f>
        <v>1.21</v>
      </c>
      <c r="H48" s="10">
        <f>+'Acevedo 2012'!H9</f>
        <v>0.49</v>
      </c>
      <c r="I48" s="10">
        <f>+'Acevedo 2012'!I9</f>
        <v>1.5</v>
      </c>
      <c r="J48" s="82">
        <f>+'Acevedo 2012'!J9</f>
        <v>3.0000000000000004E-5</v>
      </c>
      <c r="K48" s="88">
        <f>+'Acevedo 2012'!K9</f>
        <v>0.05</v>
      </c>
      <c r="L48" s="82">
        <f>+'Acevedo 2012'!L9</f>
        <v>0.1352821126387373</v>
      </c>
      <c r="M48" s="82">
        <f>+'Acevedo 2012'!M9</f>
        <v>5.4783665448744849E-2</v>
      </c>
      <c r="N48" s="82">
        <f>+'Acevedo 2012'!N9</f>
        <v>0.10606601717798214</v>
      </c>
      <c r="O48" s="82">
        <f>+'Acevedo 2012'!O9</f>
        <v>3.3541019662496853E-6</v>
      </c>
      <c r="P48">
        <f>+'Acevedo 2012'!P9</f>
        <v>-0.21996999999999997</v>
      </c>
      <c r="Q48">
        <f>+'Acevedo 2012'!R9</f>
        <v>0.26215000000000044</v>
      </c>
      <c r="R48" s="59">
        <v>1.0041626240218906</v>
      </c>
      <c r="S48" s="59">
        <v>1.2404725115969673</v>
      </c>
      <c r="T48" s="59">
        <v>0.4840034493155177</v>
      </c>
      <c r="U48" s="59">
        <v>1.478927552344701</v>
      </c>
      <c r="V48" s="59">
        <v>2.999997658572446E-5</v>
      </c>
      <c r="W48" s="59">
        <v>0.28167413388969376</v>
      </c>
      <c r="X48" s="59">
        <v>4.8386100974331665E-2</v>
      </c>
      <c r="Y48" s="59">
        <v>9.8954508249139678E-2</v>
      </c>
      <c r="Z48" s="59">
        <v>5.1688668203259791E-2</v>
      </c>
      <c r="AA48" s="59">
        <v>8.4737893730865183E-2</v>
      </c>
      <c r="AB48" s="59">
        <v>3.3541019655007422E-6</v>
      </c>
      <c r="AC48" s="59">
        <v>1.2694998018823714E-2</v>
      </c>
      <c r="AD48" s="59">
        <f t="shared" si="0"/>
        <v>-3.2686498809258308E-10</v>
      </c>
      <c r="AE48" s="58">
        <f t="shared" si="1"/>
        <v>-9.2360008530079085E-11</v>
      </c>
    </row>
    <row r="49" spans="1:31">
      <c r="A49" t="str">
        <f>+'Acevedo 2012'!A10</f>
        <v>Lu</v>
      </c>
      <c r="B49" t="str">
        <f>+'Acevedo 2012'!B10</f>
        <v>2006</v>
      </c>
      <c r="C49" t="str">
        <f>+'Acevedo 2012'!C10</f>
        <v>PAO</v>
      </c>
      <c r="D49" t="str">
        <f>+'Acevedo 2012'!D10</f>
        <v>????</v>
      </c>
      <c r="E49" t="str">
        <f>+'Acevedo 2012'!E10</f>
        <v>????</v>
      </c>
      <c r="F49" s="69">
        <f>+'Acevedo 2012'!F10</f>
        <v>1</v>
      </c>
      <c r="G49" s="10">
        <f>+'Acevedo 2012'!G10</f>
        <v>0.46</v>
      </c>
      <c r="H49" s="10">
        <f>+'Acevedo 2012'!H10</f>
        <v>7.0000000000000007E-2</v>
      </c>
      <c r="I49" s="10">
        <f>+'Acevedo 2012'!I10</f>
        <v>1.18</v>
      </c>
      <c r="J49" s="82">
        <f>+'Acevedo 2012'!J10</f>
        <v>3.0000000000000004E-5</v>
      </c>
      <c r="K49" s="88">
        <f>+'Acevedo 2012'!K10</f>
        <v>0.05</v>
      </c>
      <c r="L49" s="82">
        <f>+'Acevedo 2012'!L10</f>
        <v>5.1429563482495173E-2</v>
      </c>
      <c r="M49" s="82">
        <f>+'Acevedo 2012'!M10</f>
        <v>7.8262379212492659E-3</v>
      </c>
      <c r="N49" s="82">
        <f>+'Acevedo 2012'!N10</f>
        <v>8.3438600180012618E-2</v>
      </c>
      <c r="O49" s="82">
        <f>+'Acevedo 2012'!O10</f>
        <v>1</v>
      </c>
      <c r="P49">
        <f>+'Acevedo 2012'!P10</f>
        <v>-0.20996999999999996</v>
      </c>
      <c r="Q49">
        <f>+'Acevedo 2012'!R10</f>
        <v>-0.19384999999999994</v>
      </c>
      <c r="R49" s="59">
        <v>0.99992321902954506</v>
      </c>
      <c r="S49" s="59">
        <v>0.45991876448772612</v>
      </c>
      <c r="T49" s="59">
        <v>7.0002259414716661E-2</v>
      </c>
      <c r="U49" s="59">
        <v>1.1802410373605243</v>
      </c>
      <c r="V49" s="59">
        <v>3.8454484147025389E-2</v>
      </c>
      <c r="W49" s="59">
        <v>0.17114420258995749</v>
      </c>
      <c r="X49" s="59">
        <v>4.9960343365413253E-2</v>
      </c>
      <c r="Y49" s="59">
        <v>5.1386402551615903E-2</v>
      </c>
      <c r="Z49" s="59">
        <v>7.826018986508634E-3</v>
      </c>
      <c r="AA49" s="59">
        <v>8.3205124358170263E-2</v>
      </c>
      <c r="AB49" s="59">
        <v>9.4384307813725449E-2</v>
      </c>
      <c r="AC49" s="59">
        <v>1.6535665665094002E-2</v>
      </c>
      <c r="AD49" s="59">
        <f t="shared" si="0"/>
        <v>-2.095812412505893E-11</v>
      </c>
      <c r="AE49" s="58">
        <f t="shared" si="1"/>
        <v>-5.0471848922484241E-12</v>
      </c>
    </row>
    <row r="50" spans="1:31">
      <c r="A50" t="str">
        <f>+'Acevedo 2012'!A11</f>
        <v>Oehmen</v>
      </c>
      <c r="B50" t="str">
        <f>+'Acevedo 2012'!B11</f>
        <v>2005</v>
      </c>
      <c r="C50" t="str">
        <f>+'Acevedo 2012'!C11</f>
        <v>PAO</v>
      </c>
      <c r="D50" t="str">
        <f>+'Acevedo 2012'!D11</f>
        <v>????</v>
      </c>
      <c r="E50" t="str">
        <f>+'Acevedo 2012'!E11</f>
        <v>????</v>
      </c>
      <c r="F50" s="69">
        <f>+'Acevedo 2012'!F11</f>
        <v>1</v>
      </c>
      <c r="G50" s="10">
        <f>+'Acevedo 2012'!G11</f>
        <v>0.6</v>
      </c>
      <c r="H50" s="10">
        <f>+'Acevedo 2012'!H11</f>
        <v>0.26</v>
      </c>
      <c r="I50" s="10">
        <f>+'Acevedo 2012'!I11</f>
        <v>1.31</v>
      </c>
      <c r="J50" s="82">
        <f>+'Acevedo 2012'!J11</f>
        <v>3.0000000000000004E-5</v>
      </c>
      <c r="K50" s="88">
        <f>+'Acevedo 2012'!K11</f>
        <v>0.05</v>
      </c>
      <c r="L50" s="82">
        <f>+'Acevedo 2012'!L11</f>
        <v>6.7082039324993695E-2</v>
      </c>
      <c r="M50" s="82">
        <f>+'Acevedo 2012'!M11</f>
        <v>2.9068883707497269E-2</v>
      </c>
      <c r="N50" s="82">
        <f>+'Acevedo 2012'!N11</f>
        <v>9.2630988335437744E-2</v>
      </c>
      <c r="O50" s="82">
        <f>+'Acevedo 2012'!O11</f>
        <v>3.3541019662496853E-6</v>
      </c>
      <c r="P50">
        <f>+'Acevedo 2012'!P11</f>
        <v>-2.9970000000000028E-2</v>
      </c>
      <c r="Q50">
        <f>+'Acevedo 2012'!R11</f>
        <v>0.74315000000000031</v>
      </c>
      <c r="R50" s="59">
        <v>1.0243477566380081</v>
      </c>
      <c r="S50" s="59">
        <v>0.64382596638424827</v>
      </c>
      <c r="T50" s="59">
        <v>0.25012457718468584</v>
      </c>
      <c r="U50" s="59">
        <v>1.2159882049636312</v>
      </c>
      <c r="V50" s="59">
        <v>2.9999863044258365E-5</v>
      </c>
      <c r="W50" s="59">
        <v>0.2020309409623734</v>
      </c>
      <c r="X50" s="59">
        <v>4.6608709451757907E-2</v>
      </c>
      <c r="Y50" s="59">
        <v>5.8638592553963982E-2</v>
      </c>
      <c r="Z50" s="59">
        <v>2.8126524956821247E-2</v>
      </c>
      <c r="AA50" s="59">
        <v>6.0793675574361231E-2</v>
      </c>
      <c r="AB50" s="59">
        <v>3.3541019647043597E-6</v>
      </c>
      <c r="AC50" s="59">
        <v>7.9835456357947535E-3</v>
      </c>
      <c r="AD50" s="59">
        <f t="shared" si="0"/>
        <v>4.9028434524062137E-11</v>
      </c>
      <c r="AE50" s="58">
        <f t="shared" si="1"/>
        <v>-4.8521686668578923E-11</v>
      </c>
    </row>
    <row r="51" spans="1:31">
      <c r="A51" t="str">
        <f>+'Acevedo 2012'!A12</f>
        <v>Oehmen</v>
      </c>
      <c r="B51" t="str">
        <f>+'Acevedo 2012'!B12</f>
        <v>2005</v>
      </c>
      <c r="C51" t="str">
        <f>+'Acevedo 2012'!C12</f>
        <v>GAO</v>
      </c>
      <c r="D51" t="str">
        <f>+'Acevedo 2012'!D12</f>
        <v>????</v>
      </c>
      <c r="E51" t="str">
        <f>+'Acevedo 2012'!E12</f>
        <v>????</v>
      </c>
      <c r="F51" s="69">
        <f>+'Acevedo 2012'!F12</f>
        <v>1</v>
      </c>
      <c r="G51" s="10">
        <f>+'Acevedo 2012'!G12</f>
        <v>1.17</v>
      </c>
      <c r="H51" s="10">
        <f>+'Acevedo 2012'!H12</f>
        <v>0.54</v>
      </c>
      <c r="I51" s="10">
        <f>+'Acevedo 2012'!I12</f>
        <v>1.3</v>
      </c>
      <c r="J51" s="82">
        <f>+'Acevedo 2012'!J12</f>
        <v>3.0000000000000004E-5</v>
      </c>
      <c r="K51" s="88">
        <f>+'Acevedo 2012'!K12</f>
        <v>0.05</v>
      </c>
      <c r="L51" s="82">
        <f>+'Acevedo 2012'!L12</f>
        <v>0.1308099766837377</v>
      </c>
      <c r="M51" s="82">
        <f>+'Acevedo 2012'!M12</f>
        <v>6.0373835392494329E-2</v>
      </c>
      <c r="N51" s="82">
        <f>+'Acevedo 2012'!N12</f>
        <v>9.1923881554251199E-2</v>
      </c>
      <c r="O51" s="82">
        <f>+'Acevedo 2012'!O12</f>
        <v>1</v>
      </c>
      <c r="P51">
        <f>+'Acevedo 2012'!P12</f>
        <v>-0.32996999999999987</v>
      </c>
      <c r="Q51">
        <f>+'Acevedo 2012'!R12</f>
        <v>-0.23784999999999865</v>
      </c>
      <c r="R51" s="59">
        <v>0.99990705558489201</v>
      </c>
      <c r="S51" s="59">
        <v>1.1693642567797196</v>
      </c>
      <c r="T51" s="59">
        <v>0.54016273770217371</v>
      </c>
      <c r="U51" s="59">
        <v>1.3003538992247625</v>
      </c>
      <c r="V51" s="59">
        <v>4.6542312322377689E-2</v>
      </c>
      <c r="W51" s="59">
        <v>0.28221236302435709</v>
      </c>
      <c r="X51" s="59">
        <v>4.9960877367057004E-2</v>
      </c>
      <c r="Y51" s="59">
        <v>0.13010779502536376</v>
      </c>
      <c r="Z51" s="59">
        <v>6.0274599874979795E-2</v>
      </c>
      <c r="AA51" s="59">
        <v>9.1615788484246896E-2</v>
      </c>
      <c r="AB51" s="59">
        <v>0.1491598646365685</v>
      </c>
      <c r="AC51" s="59">
        <v>2.9305930808387143E-2</v>
      </c>
      <c r="AD51" s="59">
        <f t="shared" si="0"/>
        <v>-3.6469249842241425E-10</v>
      </c>
      <c r="AE51" s="58">
        <f t="shared" si="1"/>
        <v>-9.0940754926549516E-11</v>
      </c>
    </row>
    <row r="52" spans="1:31">
      <c r="A52" t="str">
        <f>+'Zhou 2009'!A2</f>
        <v>Zhou</v>
      </c>
      <c r="B52" t="str">
        <f>+'Zhou 2009'!B2</f>
        <v>2009</v>
      </c>
      <c r="C52" t="str">
        <f>+'Zhou 2009'!C2</f>
        <v>PAO</v>
      </c>
      <c r="D52">
        <f>+'Zhou 2009'!D2</f>
        <v>22</v>
      </c>
      <c r="E52" t="str">
        <f>+'Zhou 2009'!E2</f>
        <v>7.0-8.0</v>
      </c>
      <c r="F52" s="69">
        <f>+'Zhou 2009'!F2</f>
        <v>1</v>
      </c>
      <c r="G52">
        <f>+'Zhou 2009'!G2</f>
        <v>0.46</v>
      </c>
      <c r="H52">
        <f>+'Zhou 2009'!H2</f>
        <v>0.12</v>
      </c>
      <c r="I52">
        <f>+'Zhou 2009'!I2</f>
        <v>1.1599999999999999</v>
      </c>
      <c r="J52">
        <f>+'Zhou 2009'!J2</f>
        <v>0</v>
      </c>
      <c r="K52" s="88">
        <f>+'Zhou 2009'!K2</f>
        <v>0.05</v>
      </c>
      <c r="L52">
        <f>+'Zhou 2009'!L2</f>
        <v>0.05</v>
      </c>
      <c r="M52">
        <f>+'Zhou 2009'!M2</f>
        <v>7.0000000000000007E-2</v>
      </c>
      <c r="N52">
        <f>+'Zhou 2009'!N2</f>
        <v>0.02</v>
      </c>
      <c r="O52">
        <f>+'Zhou 2009'!O2</f>
        <v>0.01</v>
      </c>
      <c r="P52">
        <f>+'Zhou 2009'!P2</f>
        <v>-0.17999999999999994</v>
      </c>
      <c r="Q52">
        <f>+'Zhou 2009'!R2</f>
        <v>-4.4000000000000483E-2</v>
      </c>
      <c r="R52" s="59">
        <v>0.99783783395940528</v>
      </c>
      <c r="S52" s="59">
        <v>0.45783784262141913</v>
      </c>
      <c r="T52" s="59">
        <v>0.12508556267769788</v>
      </c>
      <c r="U52" s="59">
        <v>1.1603892105814895</v>
      </c>
      <c r="V52" s="59">
        <v>1.0811154777031623E-4</v>
      </c>
      <c r="W52" s="59">
        <v>0.17009279175057396</v>
      </c>
      <c r="X52" s="59">
        <v>4.4817293657858838E-2</v>
      </c>
      <c r="Y52" s="59">
        <v>4.481729458071889E-2</v>
      </c>
      <c r="Z52" s="59">
        <v>4.6707238508926198E-2</v>
      </c>
      <c r="AA52" s="59">
        <v>1.9597916118523781E-2</v>
      </c>
      <c r="AB52" s="59">
        <v>9.9383838920794557E-3</v>
      </c>
      <c r="AC52" s="59">
        <v>9.1093151519012015E-3</v>
      </c>
      <c r="AD52" s="59">
        <f t="shared" si="0"/>
        <v>-1.1479434763872476E-10</v>
      </c>
      <c r="AE52" s="58">
        <f t="shared" si="1"/>
        <v>-2.3292895390270019E-11</v>
      </c>
    </row>
    <row r="53" spans="1:31">
      <c r="A53" t="str">
        <f>+'Zhou 2009'!A3</f>
        <v>Zhou low Glyc</v>
      </c>
      <c r="B53" t="str">
        <f>+'Zhou 2009'!B3</f>
        <v>2009</v>
      </c>
      <c r="C53" t="str">
        <f>+'Zhou 2009'!C3</f>
        <v>PAO</v>
      </c>
      <c r="D53">
        <f>+'Zhou 2009'!D3</f>
        <v>22</v>
      </c>
      <c r="E53" t="str">
        <f>+'Zhou 2009'!E3</f>
        <v>7.0-8.0</v>
      </c>
      <c r="F53" s="69">
        <f>+'Zhou 2009'!F3</f>
        <v>1</v>
      </c>
      <c r="G53">
        <f>+'Zhou 2009'!G3</f>
        <v>0.14000000000000001</v>
      </c>
      <c r="H53">
        <f>+'Zhou 2009'!H3</f>
        <v>0.06</v>
      </c>
      <c r="I53">
        <f>+'Zhou 2009'!I3</f>
        <v>0.91</v>
      </c>
      <c r="J53">
        <f>+'Zhou 2009'!J3</f>
        <v>0</v>
      </c>
      <c r="K53" s="88">
        <f>+'Zhou 2009'!K3</f>
        <v>0.05</v>
      </c>
      <c r="L53">
        <f>+'Zhou 2009'!L3</f>
        <v>1.9E-2</v>
      </c>
      <c r="M53">
        <f>+'Zhou 2009'!M3</f>
        <v>5.0000000000000001E-3</v>
      </c>
      <c r="N53">
        <f>+'Zhou 2009'!N3</f>
        <v>3.3000000000000002E-2</v>
      </c>
      <c r="O53">
        <f>+'Zhou 2009'!O3</f>
        <v>0.01</v>
      </c>
      <c r="P53">
        <f>+'Zhou 2009'!P3</f>
        <v>-0.17000000000000004</v>
      </c>
      <c r="Q53">
        <f>+'Zhou 2009'!R3</f>
        <v>-0.17700000000000049</v>
      </c>
      <c r="R53" s="59">
        <v>0.97503678366652224</v>
      </c>
      <c r="S53" s="59">
        <v>0.13639531250029108</v>
      </c>
      <c r="T53" s="59">
        <v>6.0299559214168859E-2</v>
      </c>
      <c r="U53" s="59">
        <v>0.92223326294187147</v>
      </c>
      <c r="V53" s="59">
        <v>1.2481633794741813E-3</v>
      </c>
      <c r="W53" s="59">
        <v>0.12765111061784445</v>
      </c>
      <c r="X53" s="59">
        <v>3.3009806914930016E-2</v>
      </c>
      <c r="Y53" s="59">
        <v>1.8209674074883157E-2</v>
      </c>
      <c r="Z53" s="59">
        <v>4.9796495045706501E-3</v>
      </c>
      <c r="AA53" s="59">
        <v>2.739170032894632E-2</v>
      </c>
      <c r="AB53" s="59">
        <v>9.8221239323486257E-3</v>
      </c>
      <c r="AC53" s="59">
        <v>4.0107361003360225E-3</v>
      </c>
      <c r="AD53" s="59">
        <f t="shared" si="0"/>
        <v>-3.0345079574112255E-10</v>
      </c>
      <c r="AE53" s="58">
        <f t="shared" si="1"/>
        <v>-1.3454432012949269E-11</v>
      </c>
    </row>
    <row r="54" spans="1:31">
      <c r="A54" t="str">
        <f>+'Zhou 2009'!A4</f>
        <v>Zhou low Glyc</v>
      </c>
      <c r="B54" t="str">
        <f>+'Zhou 2009'!B4</f>
        <v>2009</v>
      </c>
      <c r="C54" t="str">
        <f>+'Zhou 2009'!C4</f>
        <v>PAO</v>
      </c>
      <c r="D54">
        <f>+'Zhou 2009'!D4</f>
        <v>22</v>
      </c>
      <c r="E54" t="str">
        <f>+'Zhou 2009'!E4</f>
        <v>7.0-8.0</v>
      </c>
      <c r="F54" s="69">
        <f>+'Zhou 2009'!F4</f>
        <v>1</v>
      </c>
      <c r="G54">
        <f>+'Zhou 2009'!G4</f>
        <v>2.5000000000000001E-2</v>
      </c>
      <c r="H54">
        <f>+'Zhou 2009'!H4</f>
        <v>7.0000000000000001E-3</v>
      </c>
      <c r="I54">
        <f>+'Zhou 2009'!I4</f>
        <v>0.84</v>
      </c>
      <c r="J54">
        <f>+'Zhou 2009'!J4</f>
        <v>0</v>
      </c>
      <c r="K54" s="88">
        <f>+'Zhou 2009'!K4</f>
        <v>0.05</v>
      </c>
      <c r="L54">
        <f>+'Zhou 2009'!L4</f>
        <v>1.4999999999999999E-2</v>
      </c>
      <c r="M54">
        <f>+'Zhou 2009'!M4</f>
        <v>2E-3</v>
      </c>
      <c r="N54">
        <f>+'Zhou 2009'!N4</f>
        <v>2.5999999999999999E-2</v>
      </c>
      <c r="O54">
        <f>+'Zhou 2009'!O4</f>
        <v>0.01</v>
      </c>
      <c r="P54">
        <f>+'Zhou 2009'!P4</f>
        <v>-0.17800000000000005</v>
      </c>
      <c r="Q54">
        <f>+'Zhou 2009'!R4</f>
        <v>-0.28639999999999999</v>
      </c>
      <c r="R54" s="59">
        <v>0.9521719532121069</v>
      </c>
      <c r="S54" s="59">
        <v>2.0695476020890592E-2</v>
      </c>
      <c r="T54" s="59">
        <v>7.0918299438648526E-3</v>
      </c>
      <c r="U54" s="59">
        <v>0.85454931317151783</v>
      </c>
      <c r="V54" s="59">
        <v>2.3914046901750904E-3</v>
      </c>
      <c r="W54" s="59">
        <v>0.10883488142732674</v>
      </c>
      <c r="X54" s="59">
        <v>2.8810166585035726E-2</v>
      </c>
      <c r="Y54" s="59">
        <v>1.454211837829757E-2</v>
      </c>
      <c r="Z54" s="59">
        <v>1.998460358885114E-3</v>
      </c>
      <c r="AA54" s="59">
        <v>2.2835597981934578E-2</v>
      </c>
      <c r="AB54" s="59">
        <v>9.7890277627923732E-3</v>
      </c>
      <c r="AC54" s="59">
        <v>3.5559091559679741E-3</v>
      </c>
      <c r="AD54" s="59">
        <f t="shared" si="0"/>
        <v>-4.7873328218317468E-10</v>
      </c>
      <c r="AE54" s="58">
        <f t="shared" si="1"/>
        <v>-1.1303458169464875E-13</v>
      </c>
    </row>
    <row r="55" spans="1:31">
      <c r="A55" t="str">
        <f>'Pijuan 2008'!A2</f>
        <v>Pijuan</v>
      </c>
      <c r="B55" t="str">
        <f>'Pijuan 2008'!B2</f>
        <v>2008</v>
      </c>
      <c r="C55" t="str">
        <f>'Pijuan 2008'!C2</f>
        <v>PAO</v>
      </c>
      <c r="D55" t="str">
        <f>'Pijuan 2008'!D2</f>
        <v>????</v>
      </c>
      <c r="E55" t="str">
        <f>'Pijuan 2008'!E2</f>
        <v>7.0-8.0</v>
      </c>
      <c r="F55" s="69">
        <f>'Pijuan 2008'!F2</f>
        <v>1</v>
      </c>
      <c r="G55">
        <f>'Pijuan 2008'!G2</f>
        <v>0.45</v>
      </c>
      <c r="H55">
        <f>'Pijuan 2008'!H2</f>
        <v>7.0000000000000007E-2</v>
      </c>
      <c r="I55">
        <f>'Pijuan 2008'!I2</f>
        <v>1.1499999999999999</v>
      </c>
      <c r="J55">
        <f>'Pijuan 2008'!J2</f>
        <v>0</v>
      </c>
      <c r="K55" s="88">
        <f>'Pijuan 2008'!K2</f>
        <v>0.05</v>
      </c>
      <c r="L55">
        <f>'Pijuan 2008'!L2</f>
        <v>8.0000000000000002E-3</v>
      </c>
      <c r="M55">
        <f>'Pijuan 2008'!M2</f>
        <v>0.01</v>
      </c>
      <c r="N55">
        <f>'Pijuan 2008'!N2</f>
        <v>7.0000000000000001E-3</v>
      </c>
      <c r="O55">
        <f>'Pijuan 2008'!O2</f>
        <v>0.01</v>
      </c>
      <c r="P55">
        <f>'Pijuan 2008'!P2</f>
        <v>-0.22999999999999998</v>
      </c>
      <c r="Q55" s="10">
        <f>'Pijuan 2008'!R2</f>
        <v>-0.2889999999999997</v>
      </c>
      <c r="R55" s="59">
        <v>0.93827458014170873</v>
      </c>
      <c r="S55" s="59">
        <v>0.44841982942386444</v>
      </c>
      <c r="T55" s="59">
        <v>7.296282324944614E-2</v>
      </c>
      <c r="U55" s="59">
        <v>1.1513610477913809</v>
      </c>
      <c r="V55" s="59">
        <v>3.0862741956254186E-3</v>
      </c>
      <c r="W55" s="59">
        <v>0.15928426432703197</v>
      </c>
      <c r="X55" s="59">
        <v>1.9083291837333337E-2</v>
      </c>
      <c r="Y55" s="59">
        <v>7.91203284746121E-3</v>
      </c>
      <c r="Z55" s="59">
        <v>9.7508487874332344E-3</v>
      </c>
      <c r="AA55" s="59">
        <v>6.9254281642740535E-3</v>
      </c>
      <c r="AB55" s="59">
        <v>9.7293592089436609E-3</v>
      </c>
      <c r="AC55" s="59">
        <v>3.1138634731796306E-3</v>
      </c>
      <c r="AD55" s="59">
        <f t="shared" si="0"/>
        <v>-6.2560955027546328E-10</v>
      </c>
      <c r="AE55" s="58">
        <f t="shared" si="1"/>
        <v>-2.088662576227307E-12</v>
      </c>
    </row>
    <row r="56" spans="1:31">
      <c r="A56" t="str">
        <f>'Pijuan 2008'!A3</f>
        <v>Pijuan</v>
      </c>
      <c r="B56" t="str">
        <f>'Pijuan 2008'!B3</f>
        <v>2008</v>
      </c>
      <c r="C56" t="str">
        <f>'Pijuan 2008'!C3</f>
        <v>PAO</v>
      </c>
      <c r="D56" t="str">
        <f>'Pijuan 2008'!D3</f>
        <v>????</v>
      </c>
      <c r="E56" t="str">
        <f>'Pijuan 2008'!E3</f>
        <v>7.0-8.0</v>
      </c>
      <c r="F56" s="69">
        <f>'Pijuan 2008'!F3</f>
        <v>1</v>
      </c>
      <c r="G56">
        <f>'Pijuan 2008'!G3</f>
        <v>1.03</v>
      </c>
      <c r="H56">
        <f>'Pijuan 2008'!H3</f>
        <v>0.46</v>
      </c>
      <c r="I56">
        <f>'Pijuan 2008'!I3</f>
        <v>1.24</v>
      </c>
      <c r="J56">
        <f>'Pijuan 2008'!J3</f>
        <v>0.02</v>
      </c>
      <c r="K56" s="88">
        <f>'Pijuan 2008'!K3</f>
        <v>0.05</v>
      </c>
      <c r="L56">
        <f>'Pijuan 2008'!L3</f>
        <v>8.0000000000000002E-3</v>
      </c>
      <c r="M56">
        <f>'Pijuan 2008'!M3</f>
        <v>0.01</v>
      </c>
      <c r="N56">
        <f>'Pijuan 2008'!N3</f>
        <v>7.0000000000000001E-3</v>
      </c>
      <c r="O56">
        <f>'Pijuan 2008'!O3</f>
        <v>0.01</v>
      </c>
      <c r="P56">
        <f>'Pijuan 2008'!P3</f>
        <v>-0.31000000000000028</v>
      </c>
      <c r="Q56" s="10">
        <f>'Pijuan 2008'!R3</f>
        <v>-0.23200000000000073</v>
      </c>
      <c r="R56" s="59">
        <v>0.95044880018034905</v>
      </c>
      <c r="S56" s="59">
        <v>1.0287314898075814</v>
      </c>
      <c r="T56" s="59">
        <v>0.46237846060519233</v>
      </c>
      <c r="U56" s="59">
        <v>1.2410926066551184</v>
      </c>
      <c r="V56" s="59">
        <v>2.2477563718878459E-2</v>
      </c>
      <c r="W56" s="59">
        <v>0.25323165900652606</v>
      </c>
      <c r="X56" s="59">
        <v>1.9083291837333337E-2</v>
      </c>
      <c r="Y56" s="59">
        <v>7.91203284746121E-3</v>
      </c>
      <c r="Z56" s="59">
        <v>9.7508487874332344E-3</v>
      </c>
      <c r="AA56" s="59">
        <v>6.9254281642740535E-3</v>
      </c>
      <c r="AB56" s="59">
        <v>9.7293592089436609E-3</v>
      </c>
      <c r="AC56" s="59">
        <v>3.1138634731796306E-3</v>
      </c>
      <c r="AD56" s="59">
        <f t="shared" si="0"/>
        <v>-5.0437341803100111E-10</v>
      </c>
      <c r="AE56" s="58">
        <f t="shared" si="1"/>
        <v>-2.2151724898833436E-12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B148B3-7F94-6643-8C33-E3802DD4892D}">
  <sheetPr>
    <tabColor theme="9"/>
  </sheetPr>
  <dimension ref="A1:S61"/>
  <sheetViews>
    <sheetView zoomScale="84" zoomScaleNormal="150" zoomScalePageLayoutView="150" workbookViewId="0">
      <selection activeCell="D2" sqref="D2:E9"/>
    </sheetView>
  </sheetViews>
  <sheetFormatPr baseColWidth="10" defaultRowHeight="16"/>
  <cols>
    <col min="1" max="1" width="10.1640625" style="14" bestFit="1" customWidth="1" collapsed="1"/>
    <col min="2" max="2" width="9.1640625" style="14" bestFit="1" customWidth="1" collapsed="1"/>
    <col min="3" max="3" width="10.5" style="14" bestFit="1" customWidth="1" collapsed="1"/>
    <col min="4" max="6" width="11.5" style="14" bestFit="1" customWidth="1" collapsed="1"/>
    <col min="7" max="7" width="12.5" style="14" customWidth="1" collapsed="1"/>
    <col min="8" max="14" width="11.5" style="14" customWidth="1" collapsed="1"/>
    <col min="15" max="15" width="14.5" style="14" customWidth="1" collapsed="1"/>
    <col min="16" max="16" width="10.83203125" style="14" collapsed="1"/>
    <col min="17" max="17" width="15.1640625" style="14" customWidth="1" collapsed="1"/>
    <col min="18" max="16384" width="10.83203125" style="14" collapsed="1"/>
  </cols>
  <sheetData>
    <row r="1" spans="1:19" ht="51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>
      <c r="A2" s="15" t="s">
        <v>53</v>
      </c>
      <c r="B2" s="26" t="s">
        <v>39</v>
      </c>
      <c r="C2" s="15" t="s">
        <v>54</v>
      </c>
      <c r="D2" s="14" t="s">
        <v>12</v>
      </c>
      <c r="E2" s="14" t="s">
        <v>12</v>
      </c>
      <c r="F2" s="63">
        <v>1</v>
      </c>
      <c r="G2" s="16">
        <f>0.18*6/2</f>
        <v>0.54</v>
      </c>
      <c r="H2" s="16">
        <f>0.07*5/2</f>
        <v>0.17500000000000002</v>
      </c>
      <c r="I2" s="16">
        <f>0.49*4/2</f>
        <v>0.98</v>
      </c>
      <c r="J2" s="16">
        <f>0.02*6/2</f>
        <v>0.06</v>
      </c>
      <c r="K2" s="63">
        <f>0.05*F2</f>
        <v>0.05</v>
      </c>
      <c r="L2" s="63">
        <f>+ABS(G2)*SQRT((0.1*G2/G2)^2+($K2/$F2)^2)</f>
        <v>6.0373835392494329E-2</v>
      </c>
      <c r="M2" s="63">
        <f>+ABS(H2)*SQRT((0.1*H2/H2)^2+($K2/$F2)^2)</f>
        <v>1.9565594803123164E-2</v>
      </c>
      <c r="N2" s="63">
        <f>+ABS(I2)*SQRT((0.05*I2/I2)^2+($K2/$F2)^2)</f>
        <v>6.9296464556281676E-2</v>
      </c>
      <c r="O2" s="63">
        <f>+ABS(J2)*SQRT((0.1*J2/J2)^2+($K2/$F2)^2)</f>
        <v>6.7082039324993696E-3</v>
      </c>
      <c r="P2" s="16">
        <f>-1-G2+H2+I2+J2</f>
        <v>-0.32500000000000001</v>
      </c>
      <c r="Q2" s="16">
        <f>+-P2</f>
        <v>0.32500000000000001</v>
      </c>
      <c r="R2" s="16">
        <f>-4*F2-4*G2+24/5*H2+18/4*I2+30/6*J2</f>
        <v>-0.6100000000000001</v>
      </c>
      <c r="S2" s="22">
        <f>+R2/P2</f>
        <v>1.8769230769230771</v>
      </c>
    </row>
    <row r="3" spans="1:19">
      <c r="A3" s="15" t="s">
        <v>53</v>
      </c>
      <c r="B3" s="26" t="s">
        <v>39</v>
      </c>
      <c r="C3" s="15" t="s">
        <v>54</v>
      </c>
      <c r="D3" s="14" t="s">
        <v>12</v>
      </c>
      <c r="E3" s="14" t="s">
        <v>12</v>
      </c>
      <c r="F3" s="63">
        <v>1</v>
      </c>
      <c r="G3" s="16">
        <f>0.17*6/2</f>
        <v>0.51</v>
      </c>
      <c r="H3" s="16">
        <f>0.04*5/2</f>
        <v>0.1</v>
      </c>
      <c r="I3" s="16">
        <f>0.52*4/2</f>
        <v>1.04</v>
      </c>
      <c r="J3" s="16">
        <f t="shared" ref="J3:J4" si="0">0.02*6/2</f>
        <v>0.06</v>
      </c>
      <c r="K3" s="63">
        <f t="shared" ref="K3:K9" si="1">0.05*F3</f>
        <v>0.05</v>
      </c>
      <c r="L3" s="63">
        <f t="shared" ref="L3:L9" si="2">+ABS(G3)*SQRT((0.1*G3/G3)^2+($K3/$F3)^2)</f>
        <v>5.7019733426244647E-2</v>
      </c>
      <c r="M3" s="63">
        <f t="shared" ref="M3:M9" si="3">+ABS(H3)*SQRT((0.1*H3/H3)^2+($K3/$F3)^2)</f>
        <v>1.1180339887498952E-2</v>
      </c>
      <c r="N3" s="63">
        <f t="shared" ref="N3:N9" si="4">+ABS(I3)*SQRT((0.05*I3/I3)^2+($K3/$F3)^2)</f>
        <v>7.353910524340096E-2</v>
      </c>
      <c r="O3" s="63">
        <f t="shared" ref="O3:O7" si="5">+ABS(J3)*SQRT((0.1*J3/J3)^2+($K3/$F3)^2)</f>
        <v>6.7082039324993696E-3</v>
      </c>
      <c r="P3" s="16">
        <f t="shared" ref="P3:P9" si="6">-1-G3+H3+I3+J3</f>
        <v>-0.30999999999999989</v>
      </c>
      <c r="Q3" s="16">
        <f t="shared" ref="Q3:Q6" si="7">+-P3</f>
        <v>0.30999999999999989</v>
      </c>
      <c r="R3" s="16">
        <f t="shared" ref="R3:R9" si="8">-4*F3-4*G3+24/5*H3+18/4*I3+30/6*J3</f>
        <v>-0.58000000000000074</v>
      </c>
      <c r="S3" s="22">
        <f t="shared" ref="S3:S5" si="9">+R3/P3</f>
        <v>1.8709677419354869</v>
      </c>
    </row>
    <row r="4" spans="1:19">
      <c r="A4" s="15" t="s">
        <v>53</v>
      </c>
      <c r="B4" s="26" t="s">
        <v>39</v>
      </c>
      <c r="C4" s="15" t="s">
        <v>54</v>
      </c>
      <c r="D4" s="14" t="s">
        <v>12</v>
      </c>
      <c r="E4" s="14" t="s">
        <v>12</v>
      </c>
      <c r="F4" s="63">
        <v>1</v>
      </c>
      <c r="G4" s="16">
        <f>0.16*6/2</f>
        <v>0.48</v>
      </c>
      <c r="H4" s="16">
        <f>0.06*5/2</f>
        <v>0.15</v>
      </c>
      <c r="I4" s="16">
        <f>0.53*4/2</f>
        <v>1.06</v>
      </c>
      <c r="J4" s="16">
        <f t="shared" si="0"/>
        <v>0.06</v>
      </c>
      <c r="K4" s="63">
        <f t="shared" si="1"/>
        <v>0.05</v>
      </c>
      <c r="L4" s="63">
        <f t="shared" si="2"/>
        <v>5.3665631459994957E-2</v>
      </c>
      <c r="M4" s="63">
        <f t="shared" si="3"/>
        <v>1.6770509831248424E-2</v>
      </c>
      <c r="N4" s="63">
        <f t="shared" si="4"/>
        <v>7.495331880577405E-2</v>
      </c>
      <c r="O4" s="63">
        <f t="shared" si="5"/>
        <v>6.7082039324993696E-3</v>
      </c>
      <c r="P4" s="16">
        <f t="shared" si="6"/>
        <v>-0.21000000000000002</v>
      </c>
      <c r="Q4" s="16">
        <f t="shared" si="7"/>
        <v>0.21000000000000002</v>
      </c>
      <c r="R4" s="16">
        <f t="shared" si="8"/>
        <v>-0.12999999999999973</v>
      </c>
      <c r="S4" s="22">
        <f t="shared" si="9"/>
        <v>0.61904761904761774</v>
      </c>
    </row>
    <row r="5" spans="1:19">
      <c r="A5" s="15" t="s">
        <v>53</v>
      </c>
      <c r="B5" s="26" t="s">
        <v>39</v>
      </c>
      <c r="C5" s="15" t="s">
        <v>54</v>
      </c>
      <c r="D5" s="14" t="s">
        <v>12</v>
      </c>
      <c r="E5" s="14" t="s">
        <v>12</v>
      </c>
      <c r="F5" s="63">
        <v>1</v>
      </c>
      <c r="G5" s="16">
        <f>0.16*6/2</f>
        <v>0.48</v>
      </c>
      <c r="H5" s="16">
        <f>0.05*5/2</f>
        <v>0.125</v>
      </c>
      <c r="I5" s="16">
        <f>0.54*4/2</f>
        <v>1.08</v>
      </c>
      <c r="J5" s="16">
        <f>0.01*6/2</f>
        <v>0.03</v>
      </c>
      <c r="K5" s="63">
        <f t="shared" si="1"/>
        <v>0.05</v>
      </c>
      <c r="L5" s="63">
        <f t="shared" si="2"/>
        <v>5.3665631459994957E-2</v>
      </c>
      <c r="M5" s="63">
        <f t="shared" si="3"/>
        <v>1.3975424859373687E-2</v>
      </c>
      <c r="N5" s="63">
        <f t="shared" si="4"/>
        <v>7.6367532368147154E-2</v>
      </c>
      <c r="O5" s="63">
        <f t="shared" si="5"/>
        <v>3.3541019662496848E-3</v>
      </c>
      <c r="P5" s="16">
        <f t="shared" si="6"/>
        <v>-0.24499999999999991</v>
      </c>
      <c r="Q5" s="16">
        <f t="shared" si="7"/>
        <v>0.24499999999999991</v>
      </c>
      <c r="R5" s="16">
        <f t="shared" si="8"/>
        <v>-0.30999999999999994</v>
      </c>
      <c r="S5" s="22">
        <f t="shared" si="9"/>
        <v>1.2653061224489799</v>
      </c>
    </row>
    <row r="6" spans="1:19">
      <c r="A6" s="15" t="s">
        <v>55</v>
      </c>
      <c r="B6" s="65" t="s">
        <v>56</v>
      </c>
      <c r="C6" s="14" t="s">
        <v>1</v>
      </c>
      <c r="D6" s="14" t="s">
        <v>12</v>
      </c>
      <c r="E6" s="14" t="s">
        <v>12</v>
      </c>
      <c r="F6" s="63">
        <v>1</v>
      </c>
      <c r="G6" s="14">
        <f>0.33*6/2</f>
        <v>0.99</v>
      </c>
      <c r="H6" s="14">
        <f>0.15*5/2</f>
        <v>0.375</v>
      </c>
      <c r="I6" s="14">
        <f>0.68*4/2</f>
        <v>1.36</v>
      </c>
      <c r="J6" s="16">
        <f>0.008*6/2</f>
        <v>2.4E-2</v>
      </c>
      <c r="K6" s="63">
        <f t="shared" si="1"/>
        <v>0.05</v>
      </c>
      <c r="L6" s="63">
        <f t="shared" si="2"/>
        <v>0.1106853648862396</v>
      </c>
      <c r="M6" s="63">
        <f t="shared" si="3"/>
        <v>4.1926274578121064E-2</v>
      </c>
      <c r="N6" s="63">
        <f t="shared" si="4"/>
        <v>9.6166522241370483E-2</v>
      </c>
      <c r="O6" s="63">
        <f t="shared" si="5"/>
        <v>2.6832815729997479E-3</v>
      </c>
      <c r="P6" s="16">
        <f t="shared" si="6"/>
        <v>-0.2309999999999999</v>
      </c>
      <c r="Q6" s="16">
        <f t="shared" si="7"/>
        <v>0.2309999999999999</v>
      </c>
      <c r="R6" s="16">
        <f t="shared" si="8"/>
        <v>7.999999999999996E-2</v>
      </c>
      <c r="S6" s="22">
        <f t="shared" ref="S6" si="10">+R6/P6</f>
        <v>-0.34632034632034631</v>
      </c>
    </row>
    <row r="7" spans="1:19">
      <c r="A7" s="14" t="s">
        <v>28</v>
      </c>
      <c r="B7" s="26" t="s">
        <v>57</v>
      </c>
      <c r="C7" s="14" t="s">
        <v>1</v>
      </c>
      <c r="D7" s="14" t="s">
        <v>12</v>
      </c>
      <c r="E7" s="14" t="s">
        <v>12</v>
      </c>
      <c r="F7" s="63">
        <v>1</v>
      </c>
      <c r="G7" s="14">
        <f>0.39*6/2</f>
        <v>1.17</v>
      </c>
      <c r="H7" s="14">
        <f>0.19*5/2</f>
        <v>0.47499999999999998</v>
      </c>
      <c r="I7" s="14">
        <f>0.68*4/2</f>
        <v>1.36</v>
      </c>
      <c r="J7" s="16">
        <f>0.014*6/2</f>
        <v>4.2000000000000003E-2</v>
      </c>
      <c r="K7" s="63">
        <f t="shared" si="1"/>
        <v>0.05</v>
      </c>
      <c r="L7" s="63">
        <f t="shared" si="2"/>
        <v>0.1308099766837377</v>
      </c>
      <c r="M7" s="63">
        <f t="shared" si="3"/>
        <v>5.3106614465620011E-2</v>
      </c>
      <c r="N7" s="63">
        <f t="shared" si="4"/>
        <v>9.6166522241370483E-2</v>
      </c>
      <c r="O7" s="63">
        <f t="shared" si="5"/>
        <v>4.695742752749559E-3</v>
      </c>
      <c r="P7" s="16">
        <f t="shared" si="6"/>
        <v>-0.29299999999999976</v>
      </c>
      <c r="Q7" s="16">
        <f t="shared" ref="Q7:Q8" si="11">+-P7</f>
        <v>0.29299999999999976</v>
      </c>
      <c r="R7" s="16">
        <f t="shared" si="8"/>
        <v>-7.0000000000000229E-2</v>
      </c>
      <c r="S7" s="22">
        <f t="shared" ref="S7:S8" si="12">+R7/P7</f>
        <v>0.23890784982935251</v>
      </c>
    </row>
    <row r="8" spans="1:19">
      <c r="A8" s="14" t="s">
        <v>18</v>
      </c>
      <c r="B8" s="26" t="s">
        <v>33</v>
      </c>
      <c r="C8" s="14" t="s">
        <v>12</v>
      </c>
      <c r="D8" s="14" t="s">
        <v>12</v>
      </c>
      <c r="E8" s="14" t="s">
        <v>12</v>
      </c>
      <c r="F8" s="63">
        <v>1</v>
      </c>
      <c r="G8" s="14">
        <f>0.23*6/2</f>
        <v>0.69000000000000006</v>
      </c>
      <c r="H8" s="14">
        <f>0.18*5/2</f>
        <v>0.44999999999999996</v>
      </c>
      <c r="I8" s="14">
        <f>0.51*4/2</f>
        <v>1.02</v>
      </c>
      <c r="J8" s="63">
        <f>0.00001*6/2</f>
        <v>3.0000000000000004E-5</v>
      </c>
      <c r="K8" s="63">
        <f t="shared" si="1"/>
        <v>0.05</v>
      </c>
      <c r="L8" s="63">
        <f t="shared" si="2"/>
        <v>7.7144345223742763E-2</v>
      </c>
      <c r="M8" s="63">
        <f t="shared" si="3"/>
        <v>5.0311529493745268E-2</v>
      </c>
      <c r="N8" s="63">
        <f t="shared" si="4"/>
        <v>7.2124891681027856E-2</v>
      </c>
      <c r="O8" s="63">
        <v>1</v>
      </c>
      <c r="P8" s="16">
        <f t="shared" si="6"/>
        <v>-0.21996999999999997</v>
      </c>
      <c r="Q8" s="16">
        <f t="shared" si="11"/>
        <v>0.21996999999999997</v>
      </c>
      <c r="R8" s="16">
        <f t="shared" si="8"/>
        <v>-9.849999999999786E-3</v>
      </c>
      <c r="S8" s="22">
        <f t="shared" si="12"/>
        <v>4.4778833477291391E-2</v>
      </c>
    </row>
    <row r="9" spans="1:19">
      <c r="A9" s="14" t="s">
        <v>58</v>
      </c>
      <c r="B9" s="26" t="s">
        <v>59</v>
      </c>
      <c r="C9" s="14" t="s">
        <v>12</v>
      </c>
      <c r="D9" s="14" t="s">
        <v>12</v>
      </c>
      <c r="E9" s="14" t="s">
        <v>12</v>
      </c>
      <c r="F9" s="63">
        <v>1</v>
      </c>
      <c r="G9" s="14">
        <f>0.2*6/2</f>
        <v>0.60000000000000009</v>
      </c>
      <c r="H9" s="14">
        <f>0.12*5/2</f>
        <v>0.3</v>
      </c>
      <c r="I9" s="14">
        <f>0.56*4/2</f>
        <v>1.1200000000000001</v>
      </c>
      <c r="J9" s="63">
        <f>0.00001*6/2</f>
        <v>3.0000000000000004E-5</v>
      </c>
      <c r="K9" s="63">
        <f t="shared" si="1"/>
        <v>0.05</v>
      </c>
      <c r="L9" s="63">
        <f t="shared" si="2"/>
        <v>6.7082039324993709E-2</v>
      </c>
      <c r="M9" s="63">
        <f t="shared" si="3"/>
        <v>3.3541019662496847E-2</v>
      </c>
      <c r="N9" s="63">
        <f t="shared" si="4"/>
        <v>7.9195959492893347E-2</v>
      </c>
      <c r="O9" s="63">
        <f>ABS(J9)*SQRT((0.1*J9/J9)^2+($K9/$F9)^2)</f>
        <v>3.3541019662496853E-6</v>
      </c>
      <c r="P9" s="16">
        <f t="shared" si="6"/>
        <v>-0.17996999999999994</v>
      </c>
      <c r="Q9" s="16">
        <f t="shared" ref="Q9" si="13">+-P9</f>
        <v>0.17996999999999994</v>
      </c>
      <c r="R9" s="16">
        <f t="shared" si="8"/>
        <v>8.0150000000000068E-2</v>
      </c>
      <c r="S9" s="22">
        <f t="shared" ref="S9" si="14">+R9/P9</f>
        <v>-0.44535200311163026</v>
      </c>
    </row>
    <row r="15" spans="1:19">
      <c r="A15" s="111" t="s">
        <v>68</v>
      </c>
      <c r="B15" s="111"/>
      <c r="C15" s="111"/>
      <c r="D15" s="111"/>
      <c r="E15" s="111"/>
      <c r="F15" s="111"/>
      <c r="G15" s="111"/>
    </row>
    <row r="16" spans="1:19" s="13" customFormat="1" ht="31" customHeight="1">
      <c r="A16" s="13" t="s">
        <v>63</v>
      </c>
      <c r="B16" s="13" t="s">
        <v>120</v>
      </c>
      <c r="C16" s="13" t="s">
        <v>90</v>
      </c>
      <c r="D16" s="13" t="s">
        <v>91</v>
      </c>
      <c r="E16" s="13" t="s">
        <v>92</v>
      </c>
      <c r="F16" s="13" t="s">
        <v>123</v>
      </c>
      <c r="G16" s="13" t="s">
        <v>64</v>
      </c>
      <c r="H16" s="13" t="s">
        <v>65</v>
      </c>
      <c r="I16" s="13" t="s">
        <v>66</v>
      </c>
      <c r="J16" s="13" t="s">
        <v>67</v>
      </c>
      <c r="K16" s="13" t="s">
        <v>8</v>
      </c>
      <c r="L16" s="13" t="s">
        <v>9</v>
      </c>
      <c r="M16" s="21" t="s">
        <v>11</v>
      </c>
    </row>
    <row r="17" spans="1:13">
      <c r="A17" s="2">
        <v>1000</v>
      </c>
      <c r="B17" s="93">
        <f>2*(6+3*A17)</f>
        <v>6012</v>
      </c>
      <c r="C17" s="72">
        <f>6*1</f>
        <v>6</v>
      </c>
      <c r="D17" s="72">
        <f>A17*5</f>
        <v>5000</v>
      </c>
      <c r="E17" s="72">
        <f>4*4</f>
        <v>16</v>
      </c>
      <c r="F17" s="72">
        <f>2+A17</f>
        <v>1002</v>
      </c>
      <c r="G17" s="72">
        <f>C17/(C17+B17)</f>
        <v>9.9700897308075765E-4</v>
      </c>
      <c r="H17" s="72">
        <f>D17/(C17+B17)</f>
        <v>0.83084081090063144</v>
      </c>
      <c r="I17" s="72">
        <f>E17/(C17+B17)</f>
        <v>2.6586905948820204E-3</v>
      </c>
      <c r="J17" s="72">
        <f>F17/(C17+B17)</f>
        <v>0.16650049850448653</v>
      </c>
      <c r="K17" s="16">
        <f>-B17-C17+D17+E17+F17</f>
        <v>0</v>
      </c>
      <c r="L17" s="16">
        <f>-4*B17-4*C17+24/5*D17+18/4*E17</f>
        <v>0</v>
      </c>
      <c r="M17" s="22" t="e">
        <f>+L17/K17</f>
        <v>#DIV/0!</v>
      </c>
    </row>
    <row r="18" spans="1:13">
      <c r="A18" s="2">
        <v>100</v>
      </c>
      <c r="B18" s="93">
        <f t="shared" ref="B18:B37" si="15">2*(6+3*A18)</f>
        <v>612</v>
      </c>
      <c r="C18" s="72">
        <f t="shared" ref="C18:C37" si="16">6*1</f>
        <v>6</v>
      </c>
      <c r="D18" s="72">
        <f t="shared" ref="D18:D37" si="17">A18*5</f>
        <v>500</v>
      </c>
      <c r="E18" s="72">
        <f t="shared" ref="E18:E37" si="18">4*4</f>
        <v>16</v>
      </c>
      <c r="F18" s="72">
        <f t="shared" ref="F18:F37" si="19">2+A18</f>
        <v>102</v>
      </c>
      <c r="G18" s="72">
        <f t="shared" ref="G18:G37" si="20">C18/(C18+B18)</f>
        <v>9.7087378640776691E-3</v>
      </c>
      <c r="H18" s="72">
        <f t="shared" ref="H18:H37" si="21">D18/(C18+B18)</f>
        <v>0.80906148867313921</v>
      </c>
      <c r="I18" s="72">
        <f t="shared" ref="I18:I37" si="22">E18/(C18+B18)</f>
        <v>2.5889967637540454E-2</v>
      </c>
      <c r="J18" s="72">
        <f t="shared" ref="J18:J37" si="23">F18/(C18+B18)</f>
        <v>0.1650485436893204</v>
      </c>
      <c r="K18" s="16">
        <f t="shared" ref="K18:K37" si="24">-B18-C18+D18+E18+F18</f>
        <v>0</v>
      </c>
      <c r="L18" s="16">
        <f t="shared" ref="L18:L37" si="25">-4*B18-4*C18+24/5*D18+18/4*E18</f>
        <v>0</v>
      </c>
    </row>
    <row r="19" spans="1:13">
      <c r="A19" s="2">
        <v>10</v>
      </c>
      <c r="B19" s="93">
        <f t="shared" si="15"/>
        <v>72</v>
      </c>
      <c r="C19" s="72">
        <f t="shared" si="16"/>
        <v>6</v>
      </c>
      <c r="D19" s="72">
        <f t="shared" si="17"/>
        <v>50</v>
      </c>
      <c r="E19" s="72">
        <f t="shared" si="18"/>
        <v>16</v>
      </c>
      <c r="F19" s="72">
        <f t="shared" si="19"/>
        <v>12</v>
      </c>
      <c r="G19" s="72">
        <f t="shared" si="20"/>
        <v>7.6923076923076927E-2</v>
      </c>
      <c r="H19" s="72">
        <f t="shared" si="21"/>
        <v>0.64102564102564108</v>
      </c>
      <c r="I19" s="72">
        <f t="shared" si="22"/>
        <v>0.20512820512820512</v>
      </c>
      <c r="J19" s="72">
        <f t="shared" si="23"/>
        <v>0.15384615384615385</v>
      </c>
      <c r="K19" s="16">
        <f t="shared" si="24"/>
        <v>0</v>
      </c>
      <c r="L19" s="16">
        <f t="shared" si="25"/>
        <v>0</v>
      </c>
    </row>
    <row r="20" spans="1:13">
      <c r="A20" s="2">
        <v>9</v>
      </c>
      <c r="B20" s="93">
        <f t="shared" ref="B20" si="26">2*(6+3*A20)</f>
        <v>66</v>
      </c>
      <c r="C20" s="72">
        <f t="shared" si="16"/>
        <v>6</v>
      </c>
      <c r="D20" s="72">
        <f t="shared" ref="D20" si="27">A20*5</f>
        <v>45</v>
      </c>
      <c r="E20" s="72">
        <f t="shared" si="18"/>
        <v>16</v>
      </c>
      <c r="F20" s="72">
        <f t="shared" ref="F20" si="28">2+A20</f>
        <v>11</v>
      </c>
      <c r="G20" s="72">
        <f t="shared" ref="G20" si="29">C20/(C20+B20)</f>
        <v>8.3333333333333329E-2</v>
      </c>
      <c r="H20" s="72">
        <f t="shared" ref="H20" si="30">D20/(C20+B20)</f>
        <v>0.625</v>
      </c>
      <c r="I20" s="72">
        <f t="shared" ref="I20" si="31">E20/(C20+B20)</f>
        <v>0.22222222222222221</v>
      </c>
      <c r="J20" s="72">
        <f t="shared" ref="J20" si="32">F20/(C20+B20)</f>
        <v>0.15277777777777779</v>
      </c>
      <c r="K20" s="16">
        <f t="shared" ref="K20" si="33">-B20-C20+D20+E20+F20</f>
        <v>0</v>
      </c>
      <c r="L20" s="16">
        <f t="shared" ref="L20" si="34">-4*B20-4*C20+24/5*D20+18/4*E20</f>
        <v>0</v>
      </c>
    </row>
    <row r="21" spans="1:13">
      <c r="A21" s="2">
        <v>8</v>
      </c>
      <c r="B21" s="93">
        <f t="shared" si="15"/>
        <v>60</v>
      </c>
      <c r="C21" s="72">
        <f t="shared" si="16"/>
        <v>6</v>
      </c>
      <c r="D21" s="72">
        <f t="shared" si="17"/>
        <v>40</v>
      </c>
      <c r="E21" s="72">
        <f t="shared" si="18"/>
        <v>16</v>
      </c>
      <c r="F21" s="72">
        <f t="shared" si="19"/>
        <v>10</v>
      </c>
      <c r="G21" s="72">
        <f t="shared" si="20"/>
        <v>9.0909090909090912E-2</v>
      </c>
      <c r="H21" s="72">
        <f t="shared" si="21"/>
        <v>0.60606060606060608</v>
      </c>
      <c r="I21" s="72">
        <f t="shared" si="22"/>
        <v>0.24242424242424243</v>
      </c>
      <c r="J21" s="72">
        <f t="shared" si="23"/>
        <v>0.15151515151515152</v>
      </c>
      <c r="K21" s="16">
        <f t="shared" si="24"/>
        <v>0</v>
      </c>
      <c r="L21" s="16">
        <f t="shared" si="25"/>
        <v>0</v>
      </c>
    </row>
    <row r="22" spans="1:13">
      <c r="A22" s="2">
        <v>7</v>
      </c>
      <c r="B22" s="93">
        <f t="shared" si="15"/>
        <v>54</v>
      </c>
      <c r="C22" s="72">
        <f t="shared" si="16"/>
        <v>6</v>
      </c>
      <c r="D22" s="72">
        <f t="shared" si="17"/>
        <v>35</v>
      </c>
      <c r="E22" s="72">
        <f t="shared" si="18"/>
        <v>16</v>
      </c>
      <c r="F22" s="72">
        <f t="shared" si="19"/>
        <v>9</v>
      </c>
      <c r="G22" s="72">
        <f t="shared" si="20"/>
        <v>0.1</v>
      </c>
      <c r="H22" s="72">
        <f t="shared" si="21"/>
        <v>0.58333333333333337</v>
      </c>
      <c r="I22" s="72">
        <f t="shared" si="22"/>
        <v>0.26666666666666666</v>
      </c>
      <c r="J22" s="72">
        <f t="shared" si="23"/>
        <v>0.15</v>
      </c>
      <c r="K22" s="16">
        <f t="shared" si="24"/>
        <v>0</v>
      </c>
      <c r="L22" s="16">
        <f t="shared" si="25"/>
        <v>0</v>
      </c>
    </row>
    <row r="23" spans="1:13">
      <c r="A23" s="2">
        <v>6</v>
      </c>
      <c r="B23" s="93">
        <f t="shared" si="15"/>
        <v>48</v>
      </c>
      <c r="C23" s="72">
        <f t="shared" si="16"/>
        <v>6</v>
      </c>
      <c r="D23" s="72">
        <f t="shared" si="17"/>
        <v>30</v>
      </c>
      <c r="E23" s="72">
        <f t="shared" si="18"/>
        <v>16</v>
      </c>
      <c r="F23" s="72">
        <f t="shared" si="19"/>
        <v>8</v>
      </c>
      <c r="G23" s="72">
        <f t="shared" si="20"/>
        <v>0.1111111111111111</v>
      </c>
      <c r="H23" s="72">
        <f t="shared" si="21"/>
        <v>0.55555555555555558</v>
      </c>
      <c r="I23" s="72">
        <f t="shared" si="22"/>
        <v>0.29629629629629628</v>
      </c>
      <c r="J23" s="72">
        <f t="shared" si="23"/>
        <v>0.14814814814814814</v>
      </c>
      <c r="K23" s="16">
        <f t="shared" si="24"/>
        <v>0</v>
      </c>
      <c r="L23" s="16">
        <f t="shared" si="25"/>
        <v>0</v>
      </c>
    </row>
    <row r="24" spans="1:13">
      <c r="A24" s="2">
        <v>5</v>
      </c>
      <c r="B24" s="93">
        <f t="shared" si="15"/>
        <v>42</v>
      </c>
      <c r="C24" s="72">
        <f t="shared" si="16"/>
        <v>6</v>
      </c>
      <c r="D24" s="72">
        <f t="shared" si="17"/>
        <v>25</v>
      </c>
      <c r="E24" s="72">
        <f t="shared" si="18"/>
        <v>16</v>
      </c>
      <c r="F24" s="72">
        <f t="shared" si="19"/>
        <v>7</v>
      </c>
      <c r="G24" s="72">
        <f t="shared" si="20"/>
        <v>0.125</v>
      </c>
      <c r="H24" s="72">
        <f t="shared" si="21"/>
        <v>0.52083333333333337</v>
      </c>
      <c r="I24" s="72">
        <f t="shared" si="22"/>
        <v>0.33333333333333331</v>
      </c>
      <c r="J24" s="72">
        <f t="shared" si="23"/>
        <v>0.14583333333333334</v>
      </c>
      <c r="K24" s="16">
        <f t="shared" si="24"/>
        <v>0</v>
      </c>
      <c r="L24" s="16">
        <f t="shared" si="25"/>
        <v>0</v>
      </c>
    </row>
    <row r="25" spans="1:13">
      <c r="A25" s="2">
        <v>4</v>
      </c>
      <c r="B25" s="93">
        <f t="shared" si="15"/>
        <v>36</v>
      </c>
      <c r="C25" s="72">
        <f t="shared" si="16"/>
        <v>6</v>
      </c>
      <c r="D25" s="72">
        <f t="shared" si="17"/>
        <v>20</v>
      </c>
      <c r="E25" s="72">
        <f t="shared" si="18"/>
        <v>16</v>
      </c>
      <c r="F25" s="72">
        <f t="shared" si="19"/>
        <v>6</v>
      </c>
      <c r="G25" s="72">
        <f t="shared" si="20"/>
        <v>0.14285714285714285</v>
      </c>
      <c r="H25" s="72">
        <f t="shared" si="21"/>
        <v>0.47619047619047616</v>
      </c>
      <c r="I25" s="72">
        <f t="shared" si="22"/>
        <v>0.38095238095238093</v>
      </c>
      <c r="J25" s="72">
        <f t="shared" si="23"/>
        <v>0.14285714285714285</v>
      </c>
      <c r="K25" s="16">
        <f t="shared" si="24"/>
        <v>0</v>
      </c>
      <c r="L25" s="16">
        <f t="shared" si="25"/>
        <v>0</v>
      </c>
    </row>
    <row r="26" spans="1:13">
      <c r="A26" s="2">
        <v>3</v>
      </c>
      <c r="B26" s="93">
        <f t="shared" si="15"/>
        <v>30</v>
      </c>
      <c r="C26" s="72">
        <f t="shared" si="16"/>
        <v>6</v>
      </c>
      <c r="D26" s="72">
        <f t="shared" si="17"/>
        <v>15</v>
      </c>
      <c r="E26" s="72">
        <f t="shared" si="18"/>
        <v>16</v>
      </c>
      <c r="F26" s="72">
        <f t="shared" si="19"/>
        <v>5</v>
      </c>
      <c r="G26" s="72">
        <f t="shared" si="20"/>
        <v>0.16666666666666666</v>
      </c>
      <c r="H26" s="72">
        <f t="shared" si="21"/>
        <v>0.41666666666666669</v>
      </c>
      <c r="I26" s="72">
        <f t="shared" si="22"/>
        <v>0.44444444444444442</v>
      </c>
      <c r="J26" s="72">
        <f t="shared" si="23"/>
        <v>0.1388888888888889</v>
      </c>
      <c r="K26" s="16">
        <f t="shared" si="24"/>
        <v>0</v>
      </c>
      <c r="L26" s="16">
        <f t="shared" si="25"/>
        <v>0</v>
      </c>
    </row>
    <row r="27" spans="1:13">
      <c r="A27" s="2">
        <v>2</v>
      </c>
      <c r="B27" s="93">
        <f t="shared" si="15"/>
        <v>24</v>
      </c>
      <c r="C27" s="72">
        <f t="shared" si="16"/>
        <v>6</v>
      </c>
      <c r="D27" s="72">
        <f t="shared" si="17"/>
        <v>10</v>
      </c>
      <c r="E27" s="72">
        <f t="shared" si="18"/>
        <v>16</v>
      </c>
      <c r="F27" s="72">
        <f t="shared" si="19"/>
        <v>4</v>
      </c>
      <c r="G27" s="72">
        <f t="shared" si="20"/>
        <v>0.2</v>
      </c>
      <c r="H27" s="72">
        <f t="shared" si="21"/>
        <v>0.33333333333333331</v>
      </c>
      <c r="I27" s="72">
        <f t="shared" si="22"/>
        <v>0.53333333333333333</v>
      </c>
      <c r="J27" s="72">
        <f t="shared" si="23"/>
        <v>0.13333333333333333</v>
      </c>
      <c r="K27" s="16">
        <f t="shared" si="24"/>
        <v>0</v>
      </c>
      <c r="L27" s="16">
        <f t="shared" si="25"/>
        <v>0</v>
      </c>
    </row>
    <row r="28" spans="1:13">
      <c r="A28" s="2">
        <v>1.8</v>
      </c>
      <c r="B28" s="93">
        <f t="shared" si="15"/>
        <v>22.8</v>
      </c>
      <c r="C28" s="72">
        <f t="shared" si="16"/>
        <v>6</v>
      </c>
      <c r="D28" s="72">
        <f t="shared" si="17"/>
        <v>9</v>
      </c>
      <c r="E28" s="72">
        <f t="shared" si="18"/>
        <v>16</v>
      </c>
      <c r="F28" s="72">
        <f t="shared" si="19"/>
        <v>3.8</v>
      </c>
      <c r="G28" s="72">
        <f t="shared" si="20"/>
        <v>0.20833333333333331</v>
      </c>
      <c r="H28" s="72">
        <f t="shared" si="21"/>
        <v>0.3125</v>
      </c>
      <c r="I28" s="72">
        <f t="shared" si="22"/>
        <v>0.55555555555555558</v>
      </c>
      <c r="J28" s="72">
        <f t="shared" si="23"/>
        <v>0.13194444444444445</v>
      </c>
      <c r="K28" s="16">
        <f t="shared" si="24"/>
        <v>0</v>
      </c>
      <c r="L28" s="16">
        <f t="shared" si="25"/>
        <v>0</v>
      </c>
    </row>
    <row r="29" spans="1:13">
      <c r="A29" s="2">
        <v>1.6</v>
      </c>
      <c r="B29" s="93">
        <f t="shared" si="15"/>
        <v>21.6</v>
      </c>
      <c r="C29" s="72">
        <f t="shared" si="16"/>
        <v>6</v>
      </c>
      <c r="D29" s="72">
        <f t="shared" si="17"/>
        <v>8</v>
      </c>
      <c r="E29" s="72">
        <f t="shared" si="18"/>
        <v>16</v>
      </c>
      <c r="F29" s="72">
        <f t="shared" si="19"/>
        <v>3.6</v>
      </c>
      <c r="G29" s="72">
        <f t="shared" si="20"/>
        <v>0.21739130434782608</v>
      </c>
      <c r="H29" s="72">
        <f t="shared" si="21"/>
        <v>0.28985507246376813</v>
      </c>
      <c r="I29" s="72">
        <f t="shared" si="22"/>
        <v>0.57971014492753625</v>
      </c>
      <c r="J29" s="72">
        <f t="shared" si="23"/>
        <v>0.13043478260869565</v>
      </c>
      <c r="K29" s="16">
        <f t="shared" si="24"/>
        <v>0</v>
      </c>
      <c r="L29" s="16">
        <f t="shared" si="25"/>
        <v>0</v>
      </c>
    </row>
    <row r="30" spans="1:13">
      <c r="A30" s="2">
        <v>1.4</v>
      </c>
      <c r="B30" s="93">
        <f t="shared" si="15"/>
        <v>20.399999999999999</v>
      </c>
      <c r="C30" s="72">
        <f t="shared" si="16"/>
        <v>6</v>
      </c>
      <c r="D30" s="72">
        <f t="shared" si="17"/>
        <v>7</v>
      </c>
      <c r="E30" s="72">
        <f t="shared" si="18"/>
        <v>16</v>
      </c>
      <c r="F30" s="72">
        <f t="shared" si="19"/>
        <v>3.4</v>
      </c>
      <c r="G30" s="72">
        <f t="shared" si="20"/>
        <v>0.22727272727272729</v>
      </c>
      <c r="H30" s="72">
        <f t="shared" si="21"/>
        <v>0.26515151515151514</v>
      </c>
      <c r="I30" s="72">
        <f t="shared" si="22"/>
        <v>0.60606060606060608</v>
      </c>
      <c r="J30" s="72">
        <f t="shared" si="23"/>
        <v>0.12878787878787878</v>
      </c>
      <c r="K30" s="16">
        <f t="shared" si="24"/>
        <v>0</v>
      </c>
      <c r="L30" s="16">
        <f t="shared" si="25"/>
        <v>0</v>
      </c>
    </row>
    <row r="31" spans="1:13">
      <c r="A31" s="2">
        <v>1.2</v>
      </c>
      <c r="B31" s="93">
        <f t="shared" si="15"/>
        <v>19.2</v>
      </c>
      <c r="C31" s="72">
        <f t="shared" si="16"/>
        <v>6</v>
      </c>
      <c r="D31" s="72">
        <f t="shared" si="17"/>
        <v>6</v>
      </c>
      <c r="E31" s="72">
        <f t="shared" si="18"/>
        <v>16</v>
      </c>
      <c r="F31" s="72">
        <f t="shared" si="19"/>
        <v>3.2</v>
      </c>
      <c r="G31" s="72">
        <f t="shared" si="20"/>
        <v>0.23809523809523811</v>
      </c>
      <c r="H31" s="72">
        <f t="shared" si="21"/>
        <v>0.23809523809523811</v>
      </c>
      <c r="I31" s="72">
        <f t="shared" si="22"/>
        <v>0.63492063492063489</v>
      </c>
      <c r="J31" s="72">
        <f t="shared" si="23"/>
        <v>0.126984126984127</v>
      </c>
      <c r="K31" s="16">
        <f t="shared" si="24"/>
        <v>0</v>
      </c>
      <c r="L31" s="16">
        <f t="shared" si="25"/>
        <v>0</v>
      </c>
    </row>
    <row r="32" spans="1:13">
      <c r="A32" s="2">
        <v>1</v>
      </c>
      <c r="B32" s="93">
        <f t="shared" si="15"/>
        <v>18</v>
      </c>
      <c r="C32" s="72">
        <f t="shared" si="16"/>
        <v>6</v>
      </c>
      <c r="D32" s="72">
        <f t="shared" si="17"/>
        <v>5</v>
      </c>
      <c r="E32" s="72">
        <f t="shared" si="18"/>
        <v>16</v>
      </c>
      <c r="F32" s="72">
        <f t="shared" si="19"/>
        <v>3</v>
      </c>
      <c r="G32" s="72">
        <f t="shared" si="20"/>
        <v>0.25</v>
      </c>
      <c r="H32" s="72">
        <f t="shared" si="21"/>
        <v>0.20833333333333334</v>
      </c>
      <c r="I32" s="72">
        <f t="shared" si="22"/>
        <v>0.66666666666666663</v>
      </c>
      <c r="J32" s="72">
        <f t="shared" si="23"/>
        <v>0.125</v>
      </c>
      <c r="K32" s="16">
        <f t="shared" si="24"/>
        <v>0</v>
      </c>
      <c r="L32" s="16">
        <f t="shared" si="25"/>
        <v>0</v>
      </c>
    </row>
    <row r="33" spans="1:12">
      <c r="A33" s="2">
        <v>0.8</v>
      </c>
      <c r="B33" s="93">
        <f t="shared" si="15"/>
        <v>16.8</v>
      </c>
      <c r="C33" s="72">
        <f t="shared" si="16"/>
        <v>6</v>
      </c>
      <c r="D33" s="72">
        <f t="shared" si="17"/>
        <v>4</v>
      </c>
      <c r="E33" s="72">
        <f t="shared" si="18"/>
        <v>16</v>
      </c>
      <c r="F33" s="72">
        <f t="shared" si="19"/>
        <v>2.8</v>
      </c>
      <c r="G33" s="72">
        <f t="shared" si="20"/>
        <v>0.26315789473684209</v>
      </c>
      <c r="H33" s="72">
        <f t="shared" si="21"/>
        <v>0.17543859649122806</v>
      </c>
      <c r="I33" s="72">
        <f t="shared" si="22"/>
        <v>0.70175438596491224</v>
      </c>
      <c r="J33" s="72">
        <f t="shared" si="23"/>
        <v>0.12280701754385964</v>
      </c>
      <c r="K33" s="16">
        <f t="shared" si="24"/>
        <v>0</v>
      </c>
      <c r="L33" s="16">
        <f t="shared" si="25"/>
        <v>0</v>
      </c>
    </row>
    <row r="34" spans="1:12">
      <c r="A34" s="2">
        <v>0.6</v>
      </c>
      <c r="B34" s="93">
        <f t="shared" si="15"/>
        <v>15.6</v>
      </c>
      <c r="C34" s="72">
        <f t="shared" si="16"/>
        <v>6</v>
      </c>
      <c r="D34" s="72">
        <f t="shared" si="17"/>
        <v>3</v>
      </c>
      <c r="E34" s="72">
        <f t="shared" si="18"/>
        <v>16</v>
      </c>
      <c r="F34" s="72">
        <f t="shared" si="19"/>
        <v>2.6</v>
      </c>
      <c r="G34" s="72">
        <f t="shared" si="20"/>
        <v>0.27777777777777773</v>
      </c>
      <c r="H34" s="72">
        <f t="shared" si="21"/>
        <v>0.13888888888888887</v>
      </c>
      <c r="I34" s="72">
        <f t="shared" si="22"/>
        <v>0.7407407407407407</v>
      </c>
      <c r="J34" s="72">
        <f t="shared" si="23"/>
        <v>0.12037037037037036</v>
      </c>
      <c r="K34" s="16">
        <f t="shared" si="24"/>
        <v>0</v>
      </c>
      <c r="L34" s="16">
        <f t="shared" si="25"/>
        <v>0</v>
      </c>
    </row>
    <row r="35" spans="1:12">
      <c r="A35" s="2">
        <v>0.4</v>
      </c>
      <c r="B35" s="93">
        <f t="shared" si="15"/>
        <v>14.4</v>
      </c>
      <c r="C35" s="72">
        <f t="shared" si="16"/>
        <v>6</v>
      </c>
      <c r="D35" s="72">
        <f t="shared" si="17"/>
        <v>2</v>
      </c>
      <c r="E35" s="72">
        <f t="shared" si="18"/>
        <v>16</v>
      </c>
      <c r="F35" s="72">
        <f t="shared" si="19"/>
        <v>2.4</v>
      </c>
      <c r="G35" s="72">
        <f t="shared" si="20"/>
        <v>0.29411764705882354</v>
      </c>
      <c r="H35" s="72">
        <f t="shared" si="21"/>
        <v>9.8039215686274522E-2</v>
      </c>
      <c r="I35" s="72">
        <f t="shared" si="22"/>
        <v>0.78431372549019618</v>
      </c>
      <c r="J35" s="72">
        <f t="shared" si="23"/>
        <v>0.11764705882352941</v>
      </c>
      <c r="K35" s="16">
        <f t="shared" si="24"/>
        <v>0</v>
      </c>
      <c r="L35" s="16">
        <f t="shared" si="25"/>
        <v>0</v>
      </c>
    </row>
    <row r="36" spans="1:12">
      <c r="A36" s="2">
        <v>0.2</v>
      </c>
      <c r="B36" s="93">
        <f t="shared" si="15"/>
        <v>13.2</v>
      </c>
      <c r="C36" s="72">
        <f t="shared" si="16"/>
        <v>6</v>
      </c>
      <c r="D36" s="72">
        <f t="shared" si="17"/>
        <v>1</v>
      </c>
      <c r="E36" s="72">
        <f t="shared" si="18"/>
        <v>16</v>
      </c>
      <c r="F36" s="72">
        <f t="shared" si="19"/>
        <v>2.2000000000000002</v>
      </c>
      <c r="G36" s="72">
        <f t="shared" si="20"/>
        <v>0.3125</v>
      </c>
      <c r="H36" s="72">
        <f t="shared" si="21"/>
        <v>5.2083333333333336E-2</v>
      </c>
      <c r="I36" s="72">
        <f t="shared" si="22"/>
        <v>0.83333333333333337</v>
      </c>
      <c r="J36" s="72">
        <f t="shared" si="23"/>
        <v>0.11458333333333334</v>
      </c>
      <c r="K36" s="16">
        <f t="shared" si="24"/>
        <v>0</v>
      </c>
      <c r="L36" s="16">
        <f t="shared" si="25"/>
        <v>0</v>
      </c>
    </row>
    <row r="37" spans="1:12">
      <c r="A37" s="2">
        <v>0</v>
      </c>
      <c r="B37" s="93">
        <f t="shared" si="15"/>
        <v>12</v>
      </c>
      <c r="C37" s="72">
        <f t="shared" si="16"/>
        <v>6</v>
      </c>
      <c r="D37" s="72">
        <f t="shared" si="17"/>
        <v>0</v>
      </c>
      <c r="E37" s="72">
        <f t="shared" si="18"/>
        <v>16</v>
      </c>
      <c r="F37" s="72">
        <f t="shared" si="19"/>
        <v>2</v>
      </c>
      <c r="G37" s="72">
        <f t="shared" si="20"/>
        <v>0.33333333333333331</v>
      </c>
      <c r="H37" s="72">
        <f t="shared" si="21"/>
        <v>0</v>
      </c>
      <c r="I37" s="72">
        <f t="shared" si="22"/>
        <v>0.88888888888888884</v>
      </c>
      <c r="J37" s="72">
        <f t="shared" si="23"/>
        <v>0.1111111111111111</v>
      </c>
      <c r="K37" s="16">
        <f t="shared" si="24"/>
        <v>0</v>
      </c>
      <c r="L37" s="16">
        <f t="shared" si="25"/>
        <v>0</v>
      </c>
    </row>
    <row r="38" spans="1:12" hidden="1"/>
    <row r="39" spans="1:12" hidden="1">
      <c r="A39" s="111" t="s">
        <v>69</v>
      </c>
      <c r="B39" s="111"/>
      <c r="C39" s="111"/>
      <c r="D39" s="111"/>
      <c r="E39" s="111"/>
      <c r="F39" s="111"/>
      <c r="G39" s="111"/>
    </row>
    <row r="40" spans="1:12" ht="51" hidden="1">
      <c r="A40" s="13" t="s">
        <v>70</v>
      </c>
      <c r="B40" s="13" t="s">
        <v>120</v>
      </c>
      <c r="C40" s="13" t="s">
        <v>90</v>
      </c>
      <c r="D40" s="13" t="s">
        <v>91</v>
      </c>
      <c r="E40" s="13" t="s">
        <v>92</v>
      </c>
      <c r="F40" s="13" t="s">
        <v>123</v>
      </c>
      <c r="G40" s="13" t="s">
        <v>64</v>
      </c>
      <c r="H40" s="13" t="s">
        <v>65</v>
      </c>
      <c r="I40" s="13" t="s">
        <v>66</v>
      </c>
      <c r="J40" s="13" t="s">
        <v>67</v>
      </c>
    </row>
    <row r="41" spans="1:12">
      <c r="A41" s="1">
        <v>0</v>
      </c>
      <c r="B41" s="24">
        <f>1*2</f>
        <v>2</v>
      </c>
      <c r="C41" s="23">
        <f>6*(1/3+2*A41/3)</f>
        <v>2</v>
      </c>
      <c r="D41" s="23">
        <f>(1/6+A41*2/3)*5</f>
        <v>0.83333333333333326</v>
      </c>
      <c r="E41" s="23">
        <f>(2/3)*4</f>
        <v>2.6666666666666665</v>
      </c>
      <c r="F41" s="23">
        <f>(1/2+A41*2/3)</f>
        <v>0.5</v>
      </c>
      <c r="G41" s="23">
        <f>C41/($C41+$B41)</f>
        <v>0.5</v>
      </c>
      <c r="H41" s="23">
        <f t="shared" ref="H41:J41" si="35">D41/($C41+$B41)</f>
        <v>0.20833333333333331</v>
      </c>
      <c r="I41" s="23">
        <f t="shared" si="35"/>
        <v>0.66666666666666663</v>
      </c>
      <c r="J41" s="23">
        <f t="shared" si="35"/>
        <v>0.125</v>
      </c>
      <c r="K41" s="16">
        <f t="shared" ref="K41" si="36">-B41-C41+D41+E41+F41</f>
        <v>0</v>
      </c>
      <c r="L41" s="16">
        <f t="shared" ref="L41" si="37">-4*B41-4*C41+24/5*D41+18/4*E41</f>
        <v>0</v>
      </c>
    </row>
    <row r="42" spans="1:12">
      <c r="A42" s="1">
        <v>0.2</v>
      </c>
      <c r="B42" s="24">
        <f t="shared" ref="B42:B61" si="38">1*2</f>
        <v>2</v>
      </c>
      <c r="C42" s="23">
        <f t="shared" ref="C42:C61" si="39">6*(1/3+2*A42/3)</f>
        <v>2.8</v>
      </c>
      <c r="D42" s="23">
        <f t="shared" ref="D42:D61" si="40">(1/6+A42*2/3)*5</f>
        <v>1.5</v>
      </c>
      <c r="E42" s="23">
        <f t="shared" ref="E42:E61" si="41">(2/3)*4</f>
        <v>2.6666666666666665</v>
      </c>
      <c r="F42" s="23">
        <f t="shared" ref="F42:F61" si="42">(1/2+A42*2/3)</f>
        <v>0.6333333333333333</v>
      </c>
      <c r="G42" s="23">
        <f t="shared" ref="G42:G61" si="43">C42/($C42+$B42)</f>
        <v>0.58333333333333337</v>
      </c>
      <c r="H42" s="23">
        <f t="shared" ref="H42:H61" si="44">D42/($C42+$B42)</f>
        <v>0.3125</v>
      </c>
      <c r="I42" s="23">
        <f t="shared" ref="I42:I61" si="45">E42/($C42+$B42)</f>
        <v>0.55555555555555558</v>
      </c>
      <c r="J42" s="23">
        <f t="shared" ref="J42:J61" si="46">F42/($C42+$B42)</f>
        <v>0.13194444444444445</v>
      </c>
      <c r="K42" s="16">
        <f t="shared" ref="K42:K61" si="47">-B42-C42+D42+E42+F42</f>
        <v>0</v>
      </c>
      <c r="L42" s="16">
        <f t="shared" ref="L42:L61" si="48">-4*B42-4*C42+24/5*D42+18/4*E42</f>
        <v>0</v>
      </c>
    </row>
    <row r="43" spans="1:12">
      <c r="A43" s="1">
        <v>0.4</v>
      </c>
      <c r="B43" s="24">
        <f t="shared" si="38"/>
        <v>2</v>
      </c>
      <c r="C43" s="23">
        <f t="shared" si="39"/>
        <v>3.5999999999999996</v>
      </c>
      <c r="D43" s="23">
        <f t="shared" si="40"/>
        <v>2.166666666666667</v>
      </c>
      <c r="E43" s="23">
        <f t="shared" si="41"/>
        <v>2.6666666666666665</v>
      </c>
      <c r="F43" s="23">
        <f t="shared" si="42"/>
        <v>0.76666666666666661</v>
      </c>
      <c r="G43" s="23">
        <f t="shared" si="43"/>
        <v>0.64285714285714279</v>
      </c>
      <c r="H43" s="23">
        <f t="shared" si="44"/>
        <v>0.38690476190476197</v>
      </c>
      <c r="I43" s="23">
        <f t="shared" si="45"/>
        <v>0.47619047619047622</v>
      </c>
      <c r="J43" s="23">
        <f t="shared" si="46"/>
        <v>0.13690476190476189</v>
      </c>
      <c r="K43" s="16">
        <f t="shared" si="47"/>
        <v>0</v>
      </c>
      <c r="L43" s="16">
        <f t="shared" si="48"/>
        <v>0</v>
      </c>
    </row>
    <row r="44" spans="1:12">
      <c r="A44" s="1">
        <v>0.6</v>
      </c>
      <c r="B44" s="24">
        <f t="shared" si="38"/>
        <v>2</v>
      </c>
      <c r="C44" s="23">
        <f t="shared" si="39"/>
        <v>4.3999999999999995</v>
      </c>
      <c r="D44" s="23">
        <f t="shared" si="40"/>
        <v>2.833333333333333</v>
      </c>
      <c r="E44" s="23">
        <f t="shared" si="41"/>
        <v>2.6666666666666665</v>
      </c>
      <c r="F44" s="23">
        <f t="shared" si="42"/>
        <v>0.89999999999999991</v>
      </c>
      <c r="G44" s="23">
        <f t="shared" si="43"/>
        <v>0.6875</v>
      </c>
      <c r="H44" s="23">
        <f t="shared" si="44"/>
        <v>0.44270833333333331</v>
      </c>
      <c r="I44" s="23">
        <f t="shared" si="45"/>
        <v>0.41666666666666669</v>
      </c>
      <c r="J44" s="23">
        <f t="shared" si="46"/>
        <v>0.140625</v>
      </c>
      <c r="K44" s="16">
        <f t="shared" si="47"/>
        <v>0</v>
      </c>
      <c r="L44" s="16">
        <f t="shared" si="48"/>
        <v>0</v>
      </c>
    </row>
    <row r="45" spans="1:12">
      <c r="A45" s="1">
        <v>0.8</v>
      </c>
      <c r="B45" s="24">
        <f t="shared" si="38"/>
        <v>2</v>
      </c>
      <c r="C45" s="23">
        <f t="shared" si="39"/>
        <v>5.2</v>
      </c>
      <c r="D45" s="23">
        <f t="shared" si="40"/>
        <v>3.5</v>
      </c>
      <c r="E45" s="23">
        <f t="shared" si="41"/>
        <v>2.6666666666666665</v>
      </c>
      <c r="F45" s="23">
        <f t="shared" si="42"/>
        <v>1.0333333333333332</v>
      </c>
      <c r="G45" s="23">
        <f t="shared" si="43"/>
        <v>0.72222222222222221</v>
      </c>
      <c r="H45" s="23">
        <f t="shared" si="44"/>
        <v>0.4861111111111111</v>
      </c>
      <c r="I45" s="23">
        <f t="shared" si="45"/>
        <v>0.37037037037037035</v>
      </c>
      <c r="J45" s="23">
        <f t="shared" si="46"/>
        <v>0.14351851851851849</v>
      </c>
      <c r="K45" s="16">
        <f t="shared" si="47"/>
        <v>0</v>
      </c>
      <c r="L45" s="16">
        <f t="shared" si="48"/>
        <v>0</v>
      </c>
    </row>
    <row r="46" spans="1:12">
      <c r="A46" s="1">
        <v>1</v>
      </c>
      <c r="B46" s="24">
        <f t="shared" si="38"/>
        <v>2</v>
      </c>
      <c r="C46" s="23">
        <f t="shared" si="39"/>
        <v>6</v>
      </c>
      <c r="D46" s="23">
        <f t="shared" si="40"/>
        <v>4.1666666666666661</v>
      </c>
      <c r="E46" s="23">
        <f t="shared" si="41"/>
        <v>2.6666666666666665</v>
      </c>
      <c r="F46" s="23">
        <f t="shared" si="42"/>
        <v>1.1666666666666665</v>
      </c>
      <c r="G46" s="23">
        <f t="shared" si="43"/>
        <v>0.75</v>
      </c>
      <c r="H46" s="23">
        <f t="shared" si="44"/>
        <v>0.52083333333333326</v>
      </c>
      <c r="I46" s="23">
        <f t="shared" si="45"/>
        <v>0.33333333333333331</v>
      </c>
      <c r="J46" s="23">
        <f t="shared" si="46"/>
        <v>0.14583333333333331</v>
      </c>
      <c r="K46" s="16">
        <f t="shared" si="47"/>
        <v>0</v>
      </c>
      <c r="L46" s="16">
        <f t="shared" si="48"/>
        <v>0</v>
      </c>
    </row>
    <row r="47" spans="1:12">
      <c r="A47" s="1">
        <v>1.2</v>
      </c>
      <c r="B47" s="24">
        <f t="shared" si="38"/>
        <v>2</v>
      </c>
      <c r="C47" s="23">
        <f t="shared" si="39"/>
        <v>6.8</v>
      </c>
      <c r="D47" s="23">
        <f t="shared" si="40"/>
        <v>4.833333333333333</v>
      </c>
      <c r="E47" s="23">
        <f t="shared" si="41"/>
        <v>2.6666666666666665</v>
      </c>
      <c r="F47" s="23">
        <f t="shared" si="42"/>
        <v>1.2999999999999998</v>
      </c>
      <c r="G47" s="23">
        <f t="shared" si="43"/>
        <v>0.7727272727272726</v>
      </c>
      <c r="H47" s="23">
        <f t="shared" si="44"/>
        <v>0.5492424242424242</v>
      </c>
      <c r="I47" s="23">
        <f t="shared" si="45"/>
        <v>0.30303030303030298</v>
      </c>
      <c r="J47" s="23">
        <f t="shared" si="46"/>
        <v>0.14772727272727271</v>
      </c>
      <c r="K47" s="16">
        <f t="shared" si="47"/>
        <v>0</v>
      </c>
      <c r="L47" s="16">
        <f t="shared" si="48"/>
        <v>0</v>
      </c>
    </row>
    <row r="48" spans="1:12">
      <c r="A48" s="1">
        <v>1.4</v>
      </c>
      <c r="B48" s="24">
        <f t="shared" si="38"/>
        <v>2</v>
      </c>
      <c r="C48" s="23">
        <f t="shared" si="39"/>
        <v>7.6</v>
      </c>
      <c r="D48" s="23">
        <f t="shared" si="40"/>
        <v>5.4999999999999991</v>
      </c>
      <c r="E48" s="23">
        <f t="shared" si="41"/>
        <v>2.6666666666666665</v>
      </c>
      <c r="F48" s="23">
        <f t="shared" si="42"/>
        <v>1.4333333333333331</v>
      </c>
      <c r="G48" s="23">
        <f t="shared" si="43"/>
        <v>0.79166666666666663</v>
      </c>
      <c r="H48" s="23">
        <f t="shared" si="44"/>
        <v>0.57291666666666663</v>
      </c>
      <c r="I48" s="23">
        <f t="shared" si="45"/>
        <v>0.27777777777777779</v>
      </c>
      <c r="J48" s="23">
        <f t="shared" si="46"/>
        <v>0.14930555555555555</v>
      </c>
      <c r="K48" s="16">
        <f t="shared" si="47"/>
        <v>0</v>
      </c>
      <c r="L48" s="16">
        <f t="shared" si="48"/>
        <v>0</v>
      </c>
    </row>
    <row r="49" spans="1:12">
      <c r="A49" s="1">
        <v>1.6</v>
      </c>
      <c r="B49" s="24">
        <f t="shared" si="38"/>
        <v>2</v>
      </c>
      <c r="C49" s="23">
        <f t="shared" si="39"/>
        <v>8.3999999999999986</v>
      </c>
      <c r="D49" s="23">
        <f t="shared" si="40"/>
        <v>6.166666666666667</v>
      </c>
      <c r="E49" s="23">
        <f t="shared" si="41"/>
        <v>2.6666666666666665</v>
      </c>
      <c r="F49" s="23">
        <f t="shared" si="42"/>
        <v>1.5666666666666667</v>
      </c>
      <c r="G49" s="23">
        <f t="shared" si="43"/>
        <v>0.80769230769230771</v>
      </c>
      <c r="H49" s="23">
        <f t="shared" si="44"/>
        <v>0.59294871794871806</v>
      </c>
      <c r="I49" s="23">
        <f t="shared" si="45"/>
        <v>0.25641025641025644</v>
      </c>
      <c r="J49" s="23">
        <f t="shared" si="46"/>
        <v>0.15064102564102566</v>
      </c>
      <c r="K49" s="16">
        <f t="shared" si="47"/>
        <v>0</v>
      </c>
      <c r="L49" s="16">
        <f t="shared" si="48"/>
        <v>0</v>
      </c>
    </row>
    <row r="50" spans="1:12">
      <c r="A50" s="1">
        <v>1.8</v>
      </c>
      <c r="B50" s="24">
        <f t="shared" si="38"/>
        <v>2</v>
      </c>
      <c r="C50" s="23">
        <f t="shared" si="39"/>
        <v>9.1999999999999993</v>
      </c>
      <c r="D50" s="23">
        <f t="shared" si="40"/>
        <v>6.8333333333333339</v>
      </c>
      <c r="E50" s="23">
        <f t="shared" si="41"/>
        <v>2.6666666666666665</v>
      </c>
      <c r="F50" s="23">
        <f t="shared" si="42"/>
        <v>1.7</v>
      </c>
      <c r="G50" s="23">
        <f t="shared" si="43"/>
        <v>0.8214285714285714</v>
      </c>
      <c r="H50" s="23">
        <f t="shared" si="44"/>
        <v>0.61011904761904767</v>
      </c>
      <c r="I50" s="23">
        <f t="shared" si="45"/>
        <v>0.23809523809523811</v>
      </c>
      <c r="J50" s="23">
        <f t="shared" si="46"/>
        <v>0.1517857142857143</v>
      </c>
      <c r="K50" s="16">
        <f t="shared" si="47"/>
        <v>0</v>
      </c>
      <c r="L50" s="16">
        <f t="shared" si="48"/>
        <v>0</v>
      </c>
    </row>
    <row r="51" spans="1:12">
      <c r="A51" s="1">
        <v>2</v>
      </c>
      <c r="B51" s="24">
        <f t="shared" si="38"/>
        <v>2</v>
      </c>
      <c r="C51" s="23">
        <f t="shared" si="39"/>
        <v>10</v>
      </c>
      <c r="D51" s="23">
        <f t="shared" si="40"/>
        <v>7.5</v>
      </c>
      <c r="E51" s="23">
        <f t="shared" si="41"/>
        <v>2.6666666666666665</v>
      </c>
      <c r="F51" s="23">
        <f t="shared" si="42"/>
        <v>1.8333333333333333</v>
      </c>
      <c r="G51" s="23">
        <f t="shared" si="43"/>
        <v>0.83333333333333337</v>
      </c>
      <c r="H51" s="23">
        <f t="shared" si="44"/>
        <v>0.625</v>
      </c>
      <c r="I51" s="23">
        <f t="shared" si="45"/>
        <v>0.22222222222222221</v>
      </c>
      <c r="J51" s="23">
        <f t="shared" si="46"/>
        <v>0.15277777777777776</v>
      </c>
      <c r="K51" s="16">
        <f t="shared" si="47"/>
        <v>0</v>
      </c>
      <c r="L51" s="16">
        <f t="shared" si="48"/>
        <v>0</v>
      </c>
    </row>
    <row r="52" spans="1:12">
      <c r="A52" s="1">
        <v>3</v>
      </c>
      <c r="B52" s="24">
        <f t="shared" si="38"/>
        <v>2</v>
      </c>
      <c r="C52" s="23">
        <f t="shared" si="39"/>
        <v>14</v>
      </c>
      <c r="D52" s="23">
        <f t="shared" si="40"/>
        <v>10.833333333333332</v>
      </c>
      <c r="E52" s="23">
        <f t="shared" si="41"/>
        <v>2.6666666666666665</v>
      </c>
      <c r="F52" s="23">
        <f t="shared" si="42"/>
        <v>2.5</v>
      </c>
      <c r="G52" s="23">
        <f t="shared" si="43"/>
        <v>0.875</v>
      </c>
      <c r="H52" s="23">
        <f t="shared" si="44"/>
        <v>0.67708333333333326</v>
      </c>
      <c r="I52" s="23">
        <f t="shared" si="45"/>
        <v>0.16666666666666666</v>
      </c>
      <c r="J52" s="23">
        <f t="shared" si="46"/>
        <v>0.15625</v>
      </c>
      <c r="K52" s="16">
        <f t="shared" si="47"/>
        <v>0</v>
      </c>
      <c r="L52" s="16">
        <f t="shared" si="48"/>
        <v>0</v>
      </c>
    </row>
    <row r="53" spans="1:12">
      <c r="A53" s="1">
        <v>4</v>
      </c>
      <c r="B53" s="24">
        <f t="shared" si="38"/>
        <v>2</v>
      </c>
      <c r="C53" s="23">
        <f t="shared" si="39"/>
        <v>18</v>
      </c>
      <c r="D53" s="23">
        <f t="shared" si="40"/>
        <v>14.166666666666664</v>
      </c>
      <c r="E53" s="23">
        <f t="shared" si="41"/>
        <v>2.6666666666666665</v>
      </c>
      <c r="F53" s="23">
        <f t="shared" si="42"/>
        <v>3.1666666666666665</v>
      </c>
      <c r="G53" s="23">
        <f t="shared" si="43"/>
        <v>0.9</v>
      </c>
      <c r="H53" s="23">
        <f t="shared" si="44"/>
        <v>0.70833333333333326</v>
      </c>
      <c r="I53" s="23">
        <f t="shared" si="45"/>
        <v>0.13333333333333333</v>
      </c>
      <c r="J53" s="23">
        <f t="shared" si="46"/>
        <v>0.15833333333333333</v>
      </c>
      <c r="K53" s="16">
        <f t="shared" si="47"/>
        <v>0</v>
      </c>
      <c r="L53" s="16">
        <f t="shared" si="48"/>
        <v>-1.4210854715202004E-14</v>
      </c>
    </row>
    <row r="54" spans="1:12">
      <c r="A54" s="1">
        <v>5</v>
      </c>
      <c r="B54" s="24">
        <f t="shared" si="38"/>
        <v>2</v>
      </c>
      <c r="C54" s="23">
        <f t="shared" si="39"/>
        <v>22</v>
      </c>
      <c r="D54" s="23">
        <f t="shared" si="40"/>
        <v>17.5</v>
      </c>
      <c r="E54" s="23">
        <f t="shared" si="41"/>
        <v>2.6666666666666665</v>
      </c>
      <c r="F54" s="23">
        <f t="shared" si="42"/>
        <v>3.8333333333333335</v>
      </c>
      <c r="G54" s="23">
        <f t="shared" si="43"/>
        <v>0.91666666666666663</v>
      </c>
      <c r="H54" s="23">
        <f t="shared" si="44"/>
        <v>0.72916666666666663</v>
      </c>
      <c r="I54" s="23">
        <f t="shared" si="45"/>
        <v>0.1111111111111111</v>
      </c>
      <c r="J54" s="23">
        <f t="shared" si="46"/>
        <v>0.15972222222222224</v>
      </c>
      <c r="K54" s="16">
        <f t="shared" si="47"/>
        <v>0</v>
      </c>
      <c r="L54" s="16">
        <f t="shared" si="48"/>
        <v>0</v>
      </c>
    </row>
    <row r="55" spans="1:12">
      <c r="A55" s="1">
        <v>6</v>
      </c>
      <c r="B55" s="24">
        <f t="shared" si="38"/>
        <v>2</v>
      </c>
      <c r="C55" s="23">
        <f t="shared" si="39"/>
        <v>26</v>
      </c>
      <c r="D55" s="23">
        <f t="shared" si="40"/>
        <v>20.833333333333336</v>
      </c>
      <c r="E55" s="23">
        <f t="shared" si="41"/>
        <v>2.6666666666666665</v>
      </c>
      <c r="F55" s="23">
        <f t="shared" si="42"/>
        <v>4.5</v>
      </c>
      <c r="G55" s="23">
        <f t="shared" si="43"/>
        <v>0.9285714285714286</v>
      </c>
      <c r="H55" s="23">
        <f t="shared" si="44"/>
        <v>0.74404761904761918</v>
      </c>
      <c r="I55" s="23">
        <f t="shared" si="45"/>
        <v>9.5238095238095233E-2</v>
      </c>
      <c r="J55" s="23">
        <f t="shared" si="46"/>
        <v>0.16071428571428573</v>
      </c>
      <c r="K55" s="16">
        <f t="shared" si="47"/>
        <v>0</v>
      </c>
      <c r="L55" s="16">
        <f t="shared" si="48"/>
        <v>1.4210854715202004E-14</v>
      </c>
    </row>
    <row r="56" spans="1:12">
      <c r="A56" s="1">
        <v>7</v>
      </c>
      <c r="B56" s="24">
        <f t="shared" si="38"/>
        <v>2</v>
      </c>
      <c r="C56" s="23">
        <f t="shared" si="39"/>
        <v>30</v>
      </c>
      <c r="D56" s="23">
        <f t="shared" si="40"/>
        <v>24.166666666666671</v>
      </c>
      <c r="E56" s="23">
        <f t="shared" si="41"/>
        <v>2.6666666666666665</v>
      </c>
      <c r="F56" s="23">
        <f t="shared" si="42"/>
        <v>5.166666666666667</v>
      </c>
      <c r="G56" s="23">
        <f t="shared" si="43"/>
        <v>0.9375</v>
      </c>
      <c r="H56" s="23">
        <f t="shared" si="44"/>
        <v>0.75520833333333348</v>
      </c>
      <c r="I56" s="23">
        <f t="shared" si="45"/>
        <v>8.3333333333333329E-2</v>
      </c>
      <c r="J56" s="23">
        <f t="shared" si="46"/>
        <v>0.16145833333333334</v>
      </c>
      <c r="K56" s="16">
        <f t="shared" si="47"/>
        <v>0</v>
      </c>
      <c r="L56" s="16">
        <f t="shared" si="48"/>
        <v>1.4210854715202004E-14</v>
      </c>
    </row>
    <row r="57" spans="1:12">
      <c r="A57" s="1">
        <v>8</v>
      </c>
      <c r="B57" s="24">
        <f t="shared" si="38"/>
        <v>2</v>
      </c>
      <c r="C57" s="23">
        <f t="shared" ref="C57" si="49">6*(1/3+2*A57/3)</f>
        <v>34</v>
      </c>
      <c r="D57" s="23">
        <f t="shared" ref="D57" si="50">(1/6+A57*2/3)*5</f>
        <v>27.5</v>
      </c>
      <c r="E57" s="23">
        <f t="shared" si="41"/>
        <v>2.6666666666666665</v>
      </c>
      <c r="F57" s="23">
        <f t="shared" ref="F57" si="51">(1/2+A57*2/3)</f>
        <v>5.833333333333333</v>
      </c>
      <c r="G57" s="23">
        <f t="shared" ref="G57" si="52">C57/($C57+$B57)</f>
        <v>0.94444444444444442</v>
      </c>
      <c r="H57" s="23">
        <f t="shared" ref="H57" si="53">D57/($C57+$B57)</f>
        <v>0.76388888888888884</v>
      </c>
      <c r="I57" s="23">
        <f t="shared" ref="I57" si="54">E57/($C57+$B57)</f>
        <v>7.407407407407407E-2</v>
      </c>
      <c r="J57" s="23">
        <f t="shared" ref="J57" si="55">F57/($C57+$B57)</f>
        <v>0.16203703703703703</v>
      </c>
      <c r="K57" s="16">
        <f t="shared" ref="K57" si="56">-B57-C57+D57+E57+F57</f>
        <v>0</v>
      </c>
      <c r="L57" s="16">
        <f t="shared" ref="L57" si="57">-4*B57-4*C57+24/5*D57+18/4*E57</f>
        <v>0</v>
      </c>
    </row>
    <row r="58" spans="1:12">
      <c r="A58" s="1">
        <v>9</v>
      </c>
      <c r="B58" s="24">
        <f t="shared" si="38"/>
        <v>2</v>
      </c>
      <c r="C58" s="23">
        <f t="shared" si="39"/>
        <v>38</v>
      </c>
      <c r="D58" s="23">
        <f t="shared" si="40"/>
        <v>30.833333333333336</v>
      </c>
      <c r="E58" s="23">
        <f t="shared" si="41"/>
        <v>2.6666666666666665</v>
      </c>
      <c r="F58" s="23">
        <f t="shared" si="42"/>
        <v>6.5</v>
      </c>
      <c r="G58" s="23">
        <f t="shared" si="43"/>
        <v>0.95</v>
      </c>
      <c r="H58" s="23">
        <f t="shared" si="44"/>
        <v>0.77083333333333337</v>
      </c>
      <c r="I58" s="23">
        <f t="shared" si="45"/>
        <v>6.6666666666666666E-2</v>
      </c>
      <c r="J58" s="23">
        <f t="shared" si="46"/>
        <v>0.16250000000000001</v>
      </c>
      <c r="K58" s="16">
        <f t="shared" si="47"/>
        <v>0</v>
      </c>
      <c r="L58" s="16">
        <f t="shared" si="48"/>
        <v>0</v>
      </c>
    </row>
    <row r="59" spans="1:12">
      <c r="A59" s="1">
        <v>10</v>
      </c>
      <c r="B59" s="24">
        <f t="shared" si="38"/>
        <v>2</v>
      </c>
      <c r="C59" s="23">
        <f t="shared" si="39"/>
        <v>42</v>
      </c>
      <c r="D59" s="23">
        <f t="shared" si="40"/>
        <v>34.166666666666671</v>
      </c>
      <c r="E59" s="23">
        <f t="shared" si="41"/>
        <v>2.6666666666666665</v>
      </c>
      <c r="F59" s="23">
        <f t="shared" si="42"/>
        <v>7.166666666666667</v>
      </c>
      <c r="G59" s="23">
        <f t="shared" si="43"/>
        <v>0.95454545454545459</v>
      </c>
      <c r="H59" s="23">
        <f t="shared" si="44"/>
        <v>0.7765151515151516</v>
      </c>
      <c r="I59" s="23">
        <f t="shared" si="45"/>
        <v>6.0606060606060601E-2</v>
      </c>
      <c r="J59" s="23">
        <f t="shared" si="46"/>
        <v>0.16287878787878787</v>
      </c>
      <c r="K59" s="16">
        <f t="shared" si="47"/>
        <v>0</v>
      </c>
      <c r="L59" s="16">
        <f t="shared" si="48"/>
        <v>2.8421709430404007E-14</v>
      </c>
    </row>
    <row r="60" spans="1:12">
      <c r="A60" s="1">
        <v>100</v>
      </c>
      <c r="B60" s="24">
        <f t="shared" si="38"/>
        <v>2</v>
      </c>
      <c r="C60" s="23">
        <f t="shared" si="39"/>
        <v>402</v>
      </c>
      <c r="D60" s="23">
        <f t="shared" si="40"/>
        <v>334.16666666666674</v>
      </c>
      <c r="E60" s="23">
        <f t="shared" si="41"/>
        <v>2.6666666666666665</v>
      </c>
      <c r="F60" s="23">
        <f t="shared" si="42"/>
        <v>67.166666666666671</v>
      </c>
      <c r="G60" s="23">
        <f t="shared" si="43"/>
        <v>0.99504950495049505</v>
      </c>
      <c r="H60" s="23">
        <f t="shared" si="44"/>
        <v>0.82714521452145229</v>
      </c>
      <c r="I60" s="23">
        <f t="shared" si="45"/>
        <v>6.6006600660065999E-3</v>
      </c>
      <c r="J60" s="23">
        <f t="shared" si="46"/>
        <v>0.16625412541254125</v>
      </c>
      <c r="K60" s="16">
        <f t="shared" si="47"/>
        <v>0</v>
      </c>
      <c r="L60" s="16">
        <f t="shared" si="48"/>
        <v>2.2737367544323206E-13</v>
      </c>
    </row>
    <row r="61" spans="1:12">
      <c r="A61" s="1">
        <v>1000</v>
      </c>
      <c r="B61" s="24">
        <f t="shared" si="38"/>
        <v>2</v>
      </c>
      <c r="C61" s="23">
        <f t="shared" si="39"/>
        <v>4002</v>
      </c>
      <c r="D61" s="23">
        <f t="shared" si="40"/>
        <v>3334.1666666666661</v>
      </c>
      <c r="E61" s="23">
        <f t="shared" si="41"/>
        <v>2.6666666666666665</v>
      </c>
      <c r="F61" s="23">
        <f t="shared" si="42"/>
        <v>667.16666666666663</v>
      </c>
      <c r="G61" s="23">
        <f t="shared" si="43"/>
        <v>0.99950049950049946</v>
      </c>
      <c r="H61" s="23">
        <f t="shared" si="44"/>
        <v>0.83270895770895759</v>
      </c>
      <c r="I61" s="23">
        <f t="shared" si="45"/>
        <v>6.66000666000666E-4</v>
      </c>
      <c r="J61" s="23">
        <f t="shared" si="46"/>
        <v>0.1666250416250416</v>
      </c>
      <c r="K61" s="16">
        <f t="shared" si="47"/>
        <v>0</v>
      </c>
      <c r="L61" s="16">
        <f t="shared" si="48"/>
        <v>-3.637978807091713E-12</v>
      </c>
    </row>
  </sheetData>
  <mergeCells count="2">
    <mergeCell ref="A15:G15"/>
    <mergeCell ref="A39:G39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9"/>
  </sheetPr>
  <dimension ref="A1:S6"/>
  <sheetViews>
    <sheetView topLeftCell="C1" zoomScale="150" zoomScaleNormal="150" zoomScalePageLayoutView="150" workbookViewId="0">
      <selection activeCell="L2" sqref="L2"/>
    </sheetView>
  </sheetViews>
  <sheetFormatPr baseColWidth="10" defaultRowHeight="16"/>
  <cols>
    <col min="1" max="1" width="6.83203125" style="14" bestFit="1" customWidth="1" collapsed="1"/>
    <col min="2" max="2" width="5.1640625" style="14" bestFit="1" customWidth="1" collapsed="1"/>
    <col min="3" max="3" width="10.5" style="14" bestFit="1" customWidth="1" collapsed="1"/>
    <col min="4" max="6" width="11.5" style="14" bestFit="1" customWidth="1" collapsed="1"/>
    <col min="7" max="7" width="12.5" style="14" customWidth="1" collapsed="1"/>
    <col min="8" max="8" width="21.33203125" style="14" bestFit="1" customWidth="1" collapsed="1"/>
    <col min="9" max="9" width="11.5" style="14" customWidth="1" collapsed="1"/>
    <col min="10" max="10" width="10.83203125" style="14" collapsed="1"/>
    <col min="11" max="11" width="15.1640625" style="14" customWidth="1" collapsed="1"/>
    <col min="12" max="16384" width="10.83203125" style="14" collapsed="1"/>
  </cols>
  <sheetData>
    <row r="1" spans="1:19" ht="85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>
      <c r="A2" s="15" t="s">
        <v>45</v>
      </c>
      <c r="B2" s="26" t="s">
        <v>39</v>
      </c>
      <c r="C2" s="15" t="s">
        <v>4</v>
      </c>
      <c r="D2" s="14" t="s">
        <v>46</v>
      </c>
      <c r="E2" s="14" t="s">
        <v>47</v>
      </c>
      <c r="F2" s="63">
        <v>1</v>
      </c>
      <c r="G2" s="16">
        <v>0.51</v>
      </c>
      <c r="H2" s="16">
        <v>0.14000000000000001</v>
      </c>
      <c r="I2" s="16">
        <v>0.93400000000000005</v>
      </c>
      <c r="J2" s="63">
        <f>0.00001*6/2</f>
        <v>3.0000000000000004E-5</v>
      </c>
      <c r="K2" s="63">
        <f>0.05*F2</f>
        <v>0.05</v>
      </c>
      <c r="L2" s="63">
        <f>+ABS(G2)*SQRT((0.1*G2/G2)^2+($K2/$F2)^2)</f>
        <v>5.7019733426244647E-2</v>
      </c>
      <c r="M2" s="63">
        <f>+ABS(H2)*SQRT((0.1*H2/H2)^2+($K2/$F2)^2)</f>
        <v>1.5652475842498532E-2</v>
      </c>
      <c r="N2" s="63">
        <f>+ABS(I2)*SQRT((0.05*I2/I2)^2+($K2/$F2)^2)</f>
        <v>6.6043773362823549E-2</v>
      </c>
      <c r="O2" s="63">
        <f>+IF(J2=0.00001*6/2,1,ABS(J2)*SQRT((0.1*J2/J2)^2+($K2/$F2)^2))</f>
        <v>1</v>
      </c>
      <c r="P2" s="16">
        <f>-1-G2+H2+I2+J2</f>
        <v>-0.43597000000000008</v>
      </c>
      <c r="Q2" s="16">
        <f>+-P2</f>
        <v>0.43597000000000008</v>
      </c>
      <c r="R2" s="16">
        <f>-4-4*G2+24/5*H2+18/4*I2+30/6*J2</f>
        <v>-1.1648499999999999</v>
      </c>
      <c r="S2" s="22">
        <f>+R2/P2</f>
        <v>2.671858155377663</v>
      </c>
    </row>
    <row r="3" spans="1:19">
      <c r="A3" s="15"/>
      <c r="B3" s="15"/>
    </row>
    <row r="4" spans="1:19">
      <c r="A4" s="15"/>
      <c r="B4" s="15"/>
    </row>
    <row r="5" spans="1:19">
      <c r="A5" s="15"/>
      <c r="B5" s="15"/>
    </row>
    <row r="6" spans="1:19">
      <c r="A6" s="15"/>
      <c r="B6" s="15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2">
    <tabColor theme="9"/>
  </sheetPr>
  <dimension ref="A1:S9"/>
  <sheetViews>
    <sheetView topLeftCell="A2" zoomScale="150" zoomScaleNormal="150" zoomScalePageLayoutView="150" workbookViewId="0">
      <selection activeCell="E2" sqref="E2:E3"/>
    </sheetView>
  </sheetViews>
  <sheetFormatPr baseColWidth="10" defaultRowHeight="16"/>
  <cols>
    <col min="1" max="1" width="6.83203125" style="14" bestFit="1" customWidth="1" collapsed="1"/>
    <col min="2" max="2" width="5.1640625" style="14" bestFit="1" customWidth="1" collapsed="1"/>
    <col min="3" max="3" width="10.5" style="14" bestFit="1" customWidth="1" collapsed="1"/>
    <col min="4" max="6" width="11.5" style="14" bestFit="1" customWidth="1" collapsed="1"/>
    <col min="7" max="7" width="12.5" style="14" customWidth="1" collapsed="1"/>
    <col min="8" max="8" width="21.33203125" style="14" bestFit="1" customWidth="1" collapsed="1"/>
    <col min="9" max="9" width="11.5" style="14" customWidth="1" collapsed="1"/>
    <col min="10" max="10" width="10.83203125" style="14" collapsed="1"/>
    <col min="11" max="11" width="15.1640625" style="14" customWidth="1" collapsed="1"/>
    <col min="12" max="16384" width="10.83203125" style="14" collapsed="1"/>
  </cols>
  <sheetData>
    <row r="1" spans="1:19" ht="85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13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112</v>
      </c>
      <c r="L1" s="13" t="s">
        <v>108</v>
      </c>
      <c r="M1" s="13" t="s">
        <v>109</v>
      </c>
      <c r="N1" s="13" t="s">
        <v>110</v>
      </c>
      <c r="O1" s="13" t="s">
        <v>111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>
      <c r="A2" s="15" t="s">
        <v>19</v>
      </c>
      <c r="B2" s="26" t="s">
        <v>34</v>
      </c>
      <c r="C2" s="15" t="s">
        <v>12</v>
      </c>
      <c r="D2" s="14">
        <v>5</v>
      </c>
      <c r="E2" s="14" t="s">
        <v>12</v>
      </c>
      <c r="F2" s="14">
        <f>F7/$F7</f>
        <v>1</v>
      </c>
      <c r="G2" s="16">
        <f t="shared" ref="G2:J2" si="0">G7/$F7</f>
        <v>0.29870129870129869</v>
      </c>
      <c r="H2" s="16">
        <f t="shared" si="0"/>
        <v>9.7402597402597407E-2</v>
      </c>
      <c r="I2" s="16">
        <f t="shared" si="0"/>
        <v>1.2207792207792207</v>
      </c>
      <c r="J2" s="63">
        <f t="shared" si="0"/>
        <v>1.298701298701299E-7</v>
      </c>
      <c r="K2" s="63">
        <f>0.05*F2</f>
        <v>0.05</v>
      </c>
      <c r="L2" s="63">
        <f>+ABS(G2)*SQRT((0.1*G2/G2)^2+($K2/$F2)^2)</f>
        <v>3.3395820443178681E-2</v>
      </c>
      <c r="M2" s="63">
        <f>+ABS(H2)*SQRT((0.1*H2/H2)^2+($K2/$F2)^2)</f>
        <v>1.0889941448862614E-2</v>
      </c>
      <c r="N2" s="63">
        <f>+ABS(I2)*SQRT((0.05*I2/I2)^2+($K2/$F2)^2)</f>
        <v>8.6322126534461655E-2</v>
      </c>
      <c r="O2" s="63">
        <f>ABS(J2)*SQRT((0.1*J2/J2)^2+($K2/$F2)^2)</f>
        <v>1.4519921931816821E-8</v>
      </c>
      <c r="P2" s="16">
        <f>-1-G2+H2+I2+J2</f>
        <v>1.94806493506493E-2</v>
      </c>
      <c r="Q2" s="16">
        <f>+-P2</f>
        <v>-1.94806493506493E-2</v>
      </c>
      <c r="R2" s="16">
        <f>-4-4*G2+24/5*H2+18/4*I2+30/6*J2</f>
        <v>0.7662344155844153</v>
      </c>
      <c r="S2" s="22">
        <f>+R2/P2</f>
        <v>39.333104445970449</v>
      </c>
    </row>
    <row r="3" spans="1:19">
      <c r="A3" s="15" t="s">
        <v>19</v>
      </c>
      <c r="B3" s="26" t="s">
        <v>34</v>
      </c>
      <c r="C3" s="15" t="s">
        <v>12</v>
      </c>
      <c r="D3" s="14">
        <v>20</v>
      </c>
      <c r="E3" s="14" t="s">
        <v>12</v>
      </c>
      <c r="F3" s="14">
        <f>F8/$F8</f>
        <v>1</v>
      </c>
      <c r="G3" s="16">
        <f t="shared" ref="G3:J3" si="1">G8/$F8</f>
        <v>0.40540540540540543</v>
      </c>
      <c r="H3" s="16">
        <f t="shared" si="1"/>
        <v>0.17374517374517376</v>
      </c>
      <c r="I3" s="16">
        <f t="shared" si="1"/>
        <v>0.79536679536679533</v>
      </c>
      <c r="J3" s="63">
        <f t="shared" si="1"/>
        <v>1.1583011583011585E-7</v>
      </c>
      <c r="K3" s="63">
        <f t="shared" ref="K3" si="2">0.05*F3</f>
        <v>0.05</v>
      </c>
      <c r="L3" s="63">
        <f>+ABS(G3)*SQRT((0.1*G3/G3)^2+($K3/$F3)^2)</f>
        <v>4.5325702246617368E-2</v>
      </c>
      <c r="M3" s="63">
        <f>+ABS(H3)*SQRT((0.1*H3/H3)^2+($K3/$F3)^2)</f>
        <v>1.9425300962836015E-2</v>
      </c>
      <c r="N3" s="63">
        <f>+ABS(I3)*SQRT((0.05*I3/I3)^2+($K3/$F3)^2)</f>
        <v>5.6240925453447416E-2</v>
      </c>
      <c r="O3" s="63">
        <v>1</v>
      </c>
      <c r="P3" s="16">
        <f>-1-G3+H3+I3+J3</f>
        <v>-0.43629332046332048</v>
      </c>
      <c r="Q3" s="16">
        <f>+-P3</f>
        <v>0.43629332046332048</v>
      </c>
      <c r="R3" s="16">
        <f>-4-4*G3+24/5*H3+18/4*I3+30/6*J3</f>
        <v>-1.2084936293436299</v>
      </c>
      <c r="S3" s="22">
        <f>+R3/P3</f>
        <v>2.7699109123657299</v>
      </c>
    </row>
    <row r="4" spans="1:19">
      <c r="A4" s="15"/>
      <c r="B4" s="15"/>
      <c r="K4" s="85"/>
      <c r="L4" s="85"/>
      <c r="M4" s="85"/>
      <c r="N4" s="85"/>
      <c r="O4" s="85"/>
    </row>
    <row r="5" spans="1:19">
      <c r="A5" s="15"/>
      <c r="B5" s="15"/>
      <c r="K5" s="85"/>
      <c r="L5" s="85"/>
      <c r="M5" s="85"/>
      <c r="N5" s="85"/>
      <c r="O5" s="85"/>
    </row>
    <row r="6" spans="1:19" ht="34">
      <c r="A6" s="15"/>
      <c r="B6" s="15"/>
      <c r="F6" s="14" t="s">
        <v>89</v>
      </c>
      <c r="G6" s="13" t="s">
        <v>90</v>
      </c>
      <c r="H6" s="13" t="s">
        <v>91</v>
      </c>
      <c r="I6" s="13" t="s">
        <v>92</v>
      </c>
      <c r="J6" s="13" t="s">
        <v>93</v>
      </c>
      <c r="K6" s="85"/>
      <c r="L6" s="85"/>
      <c r="M6" s="85"/>
      <c r="N6" s="85"/>
      <c r="O6" s="85"/>
    </row>
    <row r="7" spans="1:19">
      <c r="A7" s="15"/>
      <c r="B7" s="15"/>
      <c r="F7" s="14">
        <f>231*2</f>
        <v>462</v>
      </c>
      <c r="G7" s="16">
        <f>(23*6)</f>
        <v>138</v>
      </c>
      <c r="H7" s="16">
        <f>(9*5)</f>
        <v>45</v>
      </c>
      <c r="I7" s="16">
        <f>(141*4)</f>
        <v>564</v>
      </c>
      <c r="J7" s="63">
        <f>0.00001*6</f>
        <v>6.0000000000000008E-5</v>
      </c>
      <c r="K7" s="85"/>
      <c r="L7" s="85"/>
      <c r="M7" s="85"/>
      <c r="N7" s="85"/>
      <c r="O7" s="85"/>
    </row>
    <row r="8" spans="1:19">
      <c r="F8" s="14">
        <f>259*2</f>
        <v>518</v>
      </c>
      <c r="G8" s="16">
        <f>(35*6)</f>
        <v>210</v>
      </c>
      <c r="H8" s="16">
        <f>(18*5)</f>
        <v>90</v>
      </c>
      <c r="I8" s="16">
        <f>(103*4)</f>
        <v>412</v>
      </c>
      <c r="J8" s="63">
        <f>0.00001*6</f>
        <v>6.0000000000000008E-5</v>
      </c>
      <c r="K8" s="85"/>
      <c r="L8" s="85"/>
      <c r="M8" s="85"/>
      <c r="N8" s="85"/>
      <c r="O8" s="85"/>
    </row>
    <row r="9" spans="1:19">
      <c r="K9" s="85"/>
      <c r="L9" s="85"/>
      <c r="M9" s="85"/>
      <c r="N9" s="85"/>
      <c r="O9" s="85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017A63-3AB7-8B46-B87B-74E7E95CDDB6}">
  <sheetPr>
    <tabColor theme="9"/>
  </sheetPr>
  <dimension ref="A1:S7"/>
  <sheetViews>
    <sheetView zoomScale="150" zoomScaleNormal="150" zoomScalePageLayoutView="150" workbookViewId="0">
      <selection activeCell="O2" sqref="O2"/>
    </sheetView>
  </sheetViews>
  <sheetFormatPr baseColWidth="10" defaultRowHeight="16"/>
  <cols>
    <col min="1" max="1" width="6.83203125" style="14" bestFit="1" customWidth="1" collapsed="1"/>
    <col min="2" max="2" width="5.1640625" style="14" bestFit="1" customWidth="1" collapsed="1"/>
    <col min="3" max="3" width="10.5" style="14" bestFit="1" customWidth="1" collapsed="1"/>
    <col min="4" max="6" width="11.5" style="14" bestFit="1" customWidth="1" collapsed="1"/>
    <col min="7" max="7" width="12.5" style="14" customWidth="1" collapsed="1"/>
    <col min="8" max="8" width="21.33203125" style="14" bestFit="1" customWidth="1" collapsed="1"/>
    <col min="9" max="9" width="11.5" style="14" customWidth="1" collapsed="1"/>
    <col min="10" max="10" width="10.83203125" style="14" collapsed="1"/>
    <col min="11" max="11" width="15.1640625" style="14" customWidth="1" collapsed="1"/>
    <col min="12" max="16384" width="10.83203125" style="14" collapsed="1"/>
  </cols>
  <sheetData>
    <row r="1" spans="1:19" ht="85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>
      <c r="A2" s="15" t="s">
        <v>45</v>
      </c>
      <c r="B2" s="26" t="s">
        <v>36</v>
      </c>
      <c r="C2" s="15" t="s">
        <v>4</v>
      </c>
      <c r="D2" s="14" t="s">
        <v>12</v>
      </c>
      <c r="E2" s="14" t="s">
        <v>119</v>
      </c>
      <c r="F2" s="63">
        <v>1</v>
      </c>
      <c r="G2" s="16">
        <v>0.45</v>
      </c>
      <c r="H2" s="16">
        <v>7.0000000000000007E-2</v>
      </c>
      <c r="I2" s="16">
        <v>1.1499999999999999</v>
      </c>
      <c r="J2" s="16">
        <v>0</v>
      </c>
      <c r="K2" s="63">
        <f>0.05*F2</f>
        <v>0.05</v>
      </c>
      <c r="L2" s="63">
        <v>8.0000000000000002E-3</v>
      </c>
      <c r="M2" s="63">
        <v>0.01</v>
      </c>
      <c r="N2" s="63">
        <v>7.0000000000000001E-3</v>
      </c>
      <c r="O2" s="63">
        <v>0.01</v>
      </c>
      <c r="P2" s="16">
        <f>-1-G2+H2+I2+J2</f>
        <v>-0.22999999999999998</v>
      </c>
      <c r="Q2" s="16">
        <f>+-P2</f>
        <v>0.22999999999999998</v>
      </c>
      <c r="R2" s="16">
        <f>-4-4*G2+24/5*H2+18/4*I2+30/6*J2</f>
        <v>-0.2889999999999997</v>
      </c>
      <c r="S2" s="22">
        <f>+R2/P2</f>
        <v>1.2565217391304335</v>
      </c>
    </row>
    <row r="3" spans="1:19">
      <c r="A3" s="15" t="s">
        <v>45</v>
      </c>
      <c r="B3" s="26" t="s">
        <v>36</v>
      </c>
      <c r="C3" s="15" t="s">
        <v>4</v>
      </c>
      <c r="D3" s="14" t="s">
        <v>12</v>
      </c>
      <c r="E3" s="14" t="s">
        <v>119</v>
      </c>
      <c r="F3" s="63">
        <v>1</v>
      </c>
      <c r="G3" s="16">
        <v>1.03</v>
      </c>
      <c r="H3" s="16">
        <v>0.46</v>
      </c>
      <c r="I3" s="16">
        <v>1.24</v>
      </c>
      <c r="J3" s="16">
        <v>0.02</v>
      </c>
      <c r="K3" s="63">
        <f>0.05*F3</f>
        <v>0.05</v>
      </c>
      <c r="L3" s="16">
        <v>8.0000000000000002E-3</v>
      </c>
      <c r="M3" s="16">
        <v>0.01</v>
      </c>
      <c r="N3" s="16">
        <v>7.0000000000000001E-3</v>
      </c>
      <c r="O3" s="16">
        <v>0.01</v>
      </c>
      <c r="P3" s="16">
        <f>-1-G3+H3+I3+J3</f>
        <v>-0.31000000000000028</v>
      </c>
      <c r="Q3" s="16">
        <f>+-P3</f>
        <v>0.31000000000000028</v>
      </c>
      <c r="R3" s="16">
        <f>-4-4*G3+24/5*H3+18/4*I3+30/6*J3</f>
        <v>-0.23200000000000073</v>
      </c>
      <c r="S3" s="22">
        <f>+R3/P3</f>
        <v>0.74838709677419524</v>
      </c>
    </row>
    <row r="4" spans="1:19">
      <c r="A4" s="15"/>
      <c r="B4" s="15"/>
    </row>
    <row r="5" spans="1:19">
      <c r="A5" s="15"/>
      <c r="B5" s="15"/>
    </row>
    <row r="6" spans="1:19">
      <c r="A6" s="15"/>
      <c r="B6" s="15"/>
    </row>
    <row r="7" spans="1:19">
      <c r="A7" s="15"/>
      <c r="B7" s="15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240FE8-C8FC-5C41-8705-C00153A24002}">
  <sheetPr>
    <tabColor theme="9"/>
  </sheetPr>
  <dimension ref="A1:S7"/>
  <sheetViews>
    <sheetView zoomScale="150" zoomScaleNormal="150" zoomScalePageLayoutView="150" workbookViewId="0">
      <selection activeCell="D3" sqref="D3"/>
    </sheetView>
  </sheetViews>
  <sheetFormatPr baseColWidth="10" defaultRowHeight="16"/>
  <cols>
    <col min="1" max="1" width="6.83203125" style="14" bestFit="1" customWidth="1" collapsed="1"/>
    <col min="2" max="2" width="5.1640625" style="14" bestFit="1" customWidth="1" collapsed="1"/>
    <col min="3" max="3" width="10.5" style="14" bestFit="1" customWidth="1" collapsed="1"/>
    <col min="4" max="4" width="11.5" style="14" bestFit="1" customWidth="1" collapsed="1"/>
    <col min="5" max="5" width="6.83203125" style="14" bestFit="1" customWidth="1" collapsed="1"/>
    <col min="6" max="10" width="11.5" style="14" customWidth="1" collapsed="1"/>
    <col min="11" max="11" width="12.5" style="14" customWidth="1" collapsed="1"/>
    <col min="12" max="14" width="11.33203125" style="14" customWidth="1" collapsed="1"/>
    <col min="15" max="15" width="12.5" style="14" customWidth="1" collapsed="1"/>
    <col min="16" max="16" width="6.6640625" style="14" bestFit="1" customWidth="1" collapsed="1"/>
    <col min="17" max="17" width="10.6640625" style="14" bestFit="1" customWidth="1" collapsed="1"/>
    <col min="18" max="18" width="7.6640625" style="14" bestFit="1" customWidth="1" collapsed="1"/>
    <col min="19" max="19" width="6.33203125" style="14" bestFit="1" customWidth="1" collapsed="1"/>
    <col min="20" max="16384" width="10.83203125" style="14" collapsed="1"/>
  </cols>
  <sheetData>
    <row r="1" spans="1:19" ht="85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>
      <c r="A2" s="15" t="s">
        <v>24</v>
      </c>
      <c r="B2" s="26" t="s">
        <v>118</v>
      </c>
      <c r="C2" s="15" t="s">
        <v>4</v>
      </c>
      <c r="D2" s="14">
        <v>22</v>
      </c>
      <c r="E2" s="14" t="s">
        <v>119</v>
      </c>
      <c r="F2" s="70">
        <v>1</v>
      </c>
      <c r="G2" s="16">
        <v>0.46</v>
      </c>
      <c r="H2" s="16">
        <v>0.12</v>
      </c>
      <c r="I2" s="16">
        <v>1.1599999999999999</v>
      </c>
      <c r="J2" s="16">
        <v>0</v>
      </c>
      <c r="K2" s="63">
        <f>0.05*F2</f>
        <v>0.05</v>
      </c>
      <c r="L2" s="16">
        <v>0.05</v>
      </c>
      <c r="M2" s="16">
        <v>7.0000000000000007E-2</v>
      </c>
      <c r="N2" s="16">
        <v>0.02</v>
      </c>
      <c r="O2" s="63">
        <v>0.01</v>
      </c>
      <c r="P2" s="16">
        <f>-1-G2+H2+I2+J2</f>
        <v>-0.17999999999999994</v>
      </c>
      <c r="Q2" s="16">
        <f>+-P2</f>
        <v>0.17999999999999994</v>
      </c>
      <c r="R2" s="16">
        <f>-4-4*G2+24/5*H2+18/4*I2+30/6*J2</f>
        <v>-4.4000000000000483E-2</v>
      </c>
      <c r="S2" s="22">
        <f>+R2/P2</f>
        <v>0.24444444444444721</v>
      </c>
    </row>
    <row r="3" spans="1:19">
      <c r="A3" s="15" t="s">
        <v>125</v>
      </c>
      <c r="B3" s="26" t="s">
        <v>118</v>
      </c>
      <c r="C3" s="15" t="s">
        <v>4</v>
      </c>
      <c r="D3" s="14">
        <v>22</v>
      </c>
      <c r="E3" s="14" t="s">
        <v>119</v>
      </c>
      <c r="F3" s="70">
        <v>1</v>
      </c>
      <c r="G3" s="16">
        <v>0.14000000000000001</v>
      </c>
      <c r="H3" s="16">
        <v>0.06</v>
      </c>
      <c r="I3" s="16">
        <v>0.91</v>
      </c>
      <c r="J3" s="16">
        <v>0</v>
      </c>
      <c r="K3" s="63">
        <f t="shared" ref="K3" si="0">0.05*F3</f>
        <v>0.05</v>
      </c>
      <c r="L3" s="16">
        <v>1.9E-2</v>
      </c>
      <c r="M3" s="16">
        <v>5.0000000000000001E-3</v>
      </c>
      <c r="N3" s="16">
        <v>3.3000000000000002E-2</v>
      </c>
      <c r="O3" s="63">
        <v>0.01</v>
      </c>
      <c r="P3" s="16">
        <f>-1-G3+H3+I3+J3</f>
        <v>-0.17000000000000004</v>
      </c>
      <c r="Q3" s="16">
        <f>+-P3</f>
        <v>0.17000000000000004</v>
      </c>
      <c r="R3" s="16">
        <f>-4-4*G3+24/5*H3+18/4*I3+30/6*J3</f>
        <v>-0.17700000000000049</v>
      </c>
      <c r="S3" s="22">
        <f>+R3/P3</f>
        <v>1.041176470588238</v>
      </c>
    </row>
    <row r="4" spans="1:19">
      <c r="A4" s="15" t="s">
        <v>125</v>
      </c>
      <c r="B4" s="26" t="s">
        <v>118</v>
      </c>
      <c r="C4" s="15" t="s">
        <v>4</v>
      </c>
      <c r="D4" s="14">
        <v>22</v>
      </c>
      <c r="E4" s="14" t="s">
        <v>119</v>
      </c>
      <c r="F4" s="70">
        <v>1</v>
      </c>
      <c r="G4" s="16">
        <v>2.5000000000000001E-2</v>
      </c>
      <c r="H4" s="16">
        <v>7.0000000000000001E-3</v>
      </c>
      <c r="I4" s="16">
        <v>0.84</v>
      </c>
      <c r="J4" s="16">
        <v>0</v>
      </c>
      <c r="K4" s="63">
        <f t="shared" ref="K4" si="1">0.05*F4</f>
        <v>0.05</v>
      </c>
      <c r="L4" s="16">
        <v>1.4999999999999999E-2</v>
      </c>
      <c r="M4" s="16">
        <v>2E-3</v>
      </c>
      <c r="N4" s="16">
        <v>2.5999999999999999E-2</v>
      </c>
      <c r="O4" s="63">
        <v>0.01</v>
      </c>
      <c r="P4" s="16">
        <f>-1-G4+H4+I4+J4</f>
        <v>-0.17800000000000005</v>
      </c>
      <c r="Q4" s="16">
        <f>+-P4</f>
        <v>0.17800000000000005</v>
      </c>
      <c r="R4" s="16">
        <f>-4-4*G4+24/5*H4+18/4*I4+30/6*J4</f>
        <v>-0.28639999999999999</v>
      </c>
      <c r="S4" s="22">
        <f>+R4/P4</f>
        <v>1.6089887640449434</v>
      </c>
    </row>
    <row r="5" spans="1:19">
      <c r="A5" s="15"/>
      <c r="B5" s="15"/>
      <c r="K5" s="85"/>
      <c r="L5" s="85"/>
      <c r="M5" s="85"/>
      <c r="N5" s="85"/>
      <c r="O5" s="85"/>
    </row>
    <row r="6" spans="1:19">
      <c r="K6" s="85"/>
      <c r="L6" s="85"/>
      <c r="M6" s="85"/>
      <c r="N6" s="85"/>
      <c r="O6" s="85"/>
    </row>
    <row r="7" spans="1:19">
      <c r="K7" s="85"/>
      <c r="L7" s="85"/>
      <c r="M7" s="85"/>
      <c r="N7" s="85"/>
      <c r="O7" s="85"/>
    </row>
  </sheetData>
  <pageMargins left="0.7" right="0.7" top="0.75" bottom="0.75" header="0.3" footer="0.3"/>
  <drawing r:id="rId1"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7"/>
  </sheetPr>
  <dimension ref="A1:S8"/>
  <sheetViews>
    <sheetView topLeftCell="B1" workbookViewId="0">
      <selection activeCell="D2" sqref="D2:E8"/>
    </sheetView>
  </sheetViews>
  <sheetFormatPr baseColWidth="10" defaultRowHeight="16"/>
  <cols>
    <col min="1" max="1" width="6.83203125" style="14" bestFit="1" customWidth="1" collapsed="1"/>
    <col min="2" max="2" width="5.1640625" style="14" bestFit="1" customWidth="1" collapsed="1"/>
    <col min="3" max="3" width="15.6640625" style="14" bestFit="1" customWidth="1" collapsed="1"/>
    <col min="4" max="6" width="11.5" style="14" bestFit="1" customWidth="1" collapsed="1"/>
    <col min="7" max="7" width="12.5" style="14" customWidth="1" collapsed="1"/>
    <col min="8" max="8" width="21.33203125" style="14" bestFit="1" customWidth="1" collapsed="1"/>
    <col min="9" max="9" width="11.5" style="14" customWidth="1" collapsed="1"/>
    <col min="10" max="10" width="12.1640625" style="14" customWidth="1" collapsed="1"/>
    <col min="11" max="11" width="7.33203125" style="14" bestFit="1" customWidth="1" collapsed="1"/>
    <col min="12" max="14" width="11.6640625" style="14" bestFit="1" customWidth="1" collapsed="1"/>
    <col min="15" max="15" width="14" style="14" customWidth="1" collapsed="1"/>
    <col min="16" max="16" width="15.1640625" style="14" customWidth="1" collapsed="1"/>
    <col min="17" max="17" width="12.6640625" style="14" customWidth="1" collapsed="1"/>
    <col min="18" max="16384" width="10.83203125" style="14" collapsed="1"/>
  </cols>
  <sheetData>
    <row r="1" spans="1:19" ht="51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>
      <c r="A2" s="15" t="s">
        <v>44</v>
      </c>
      <c r="B2" s="26" t="s">
        <v>37</v>
      </c>
      <c r="C2" s="15" t="s">
        <v>96</v>
      </c>
      <c r="D2" s="14" t="s">
        <v>12</v>
      </c>
      <c r="E2" s="14" t="s">
        <v>12</v>
      </c>
      <c r="F2" s="63">
        <v>1</v>
      </c>
      <c r="G2" s="61">
        <f>0.2</f>
        <v>0.2</v>
      </c>
      <c r="H2" s="61">
        <f>(0.18+0.01)*0.8</f>
        <v>0.15200000000000002</v>
      </c>
      <c r="I2" s="16">
        <f>0.79*0.8</f>
        <v>0.63200000000000012</v>
      </c>
      <c r="J2" s="16">
        <f>0.02*0.8</f>
        <v>1.6E-2</v>
      </c>
      <c r="K2" s="63">
        <v>1E-4</v>
      </c>
      <c r="L2" s="61">
        <v>0.1</v>
      </c>
      <c r="M2" s="61">
        <f>ABS(H2)*SQRT((0.05/0.18)^2+(0.2/0.8)^2)</f>
        <v>5.6804190420977896E-2</v>
      </c>
      <c r="N2" s="61">
        <f>ABS(I2)*SQRT((0.03/0.79)^2+(0.2/0.8)^2)</f>
        <v>0.15981239000778383</v>
      </c>
      <c r="O2" s="61">
        <f>ABS(J2)*SQRT((0.02/0.02)^2+(0.2/0.8)^2)</f>
        <v>1.6492422502470641E-2</v>
      </c>
      <c r="P2" s="16">
        <f>-1-G2+H2+I2+J2</f>
        <v>-0.39999999999999991</v>
      </c>
      <c r="Q2" s="16">
        <f>+-P2</f>
        <v>0.39999999999999991</v>
      </c>
      <c r="R2" s="16">
        <f>-4-4*G2+24/5*H2+18/4*I2+30/6*J2</f>
        <v>-1.146399999999999</v>
      </c>
      <c r="S2" s="22">
        <f>+R2/P2</f>
        <v>2.8659999999999979</v>
      </c>
    </row>
    <row r="3" spans="1:19">
      <c r="A3" s="15" t="s">
        <v>44</v>
      </c>
      <c r="B3" s="26" t="s">
        <v>37</v>
      </c>
      <c r="C3" s="15" t="s">
        <v>96</v>
      </c>
      <c r="D3" s="14" t="s">
        <v>12</v>
      </c>
      <c r="E3" s="14" t="s">
        <v>12</v>
      </c>
      <c r="F3" s="63">
        <v>1</v>
      </c>
      <c r="G3" s="61">
        <f>0.1</f>
        <v>0.1</v>
      </c>
      <c r="H3" s="61">
        <f>(0.14+0.01)*0.9</f>
        <v>0.13500000000000004</v>
      </c>
      <c r="I3" s="61">
        <f>0.84*0.9</f>
        <v>0.75600000000000001</v>
      </c>
      <c r="J3" s="61">
        <f>0.01*0.9</f>
        <v>9.0000000000000011E-3</v>
      </c>
      <c r="K3" s="63">
        <v>1E-4</v>
      </c>
      <c r="L3" s="63">
        <v>1E-4</v>
      </c>
      <c r="M3" s="63">
        <f>ABS(H3)*SQRT((0.07/0.14)^2+(0.0001/0.9)^2)</f>
        <v>6.750000166666667E-2</v>
      </c>
      <c r="N3" s="63">
        <f>ABS(I3)*SQRT((0.07/0.84)^2+(0.0001/0.9)^2)</f>
        <v>6.3000055999975116E-2</v>
      </c>
      <c r="O3" s="63">
        <f>ABS(J3)*SQRT((0.0001/0.01)^2+(0.0001/0.9)^2)</f>
        <v>9.0005555384098401E-5</v>
      </c>
      <c r="P3" s="16">
        <f t="shared" ref="P3:P8" si="0">-1-G3+H3+I3+J3</f>
        <v>-0.20000000000000007</v>
      </c>
      <c r="Q3" s="16">
        <f t="shared" ref="Q3:Q8" si="1">+-P3</f>
        <v>0.20000000000000007</v>
      </c>
      <c r="R3" s="16">
        <f t="shared" ref="R3:R8" si="2">-4-4*G3+24/5*H3+18/4*I3+30/6*J3</f>
        <v>-0.3050000000000001</v>
      </c>
      <c r="S3" s="22">
        <f t="shared" ref="S3:S8" si="3">+R3/P3</f>
        <v>1.5249999999999999</v>
      </c>
    </row>
    <row r="4" spans="1:19">
      <c r="A4" s="15" t="s">
        <v>44</v>
      </c>
      <c r="B4" s="26" t="s">
        <v>37</v>
      </c>
      <c r="C4" s="15" t="s">
        <v>97</v>
      </c>
      <c r="D4" s="14" t="s">
        <v>12</v>
      </c>
      <c r="E4" s="14" t="s">
        <v>12</v>
      </c>
      <c r="F4" s="63">
        <v>1</v>
      </c>
      <c r="G4" s="61">
        <v>0.2</v>
      </c>
      <c r="H4" s="61">
        <f>(0.29+0.01)*1.6</f>
        <v>0.48</v>
      </c>
      <c r="I4" s="61">
        <f>0.67*1.6</f>
        <v>1.0720000000000001</v>
      </c>
      <c r="J4" s="61">
        <f>0.03*1.6</f>
        <v>4.8000000000000001E-2</v>
      </c>
      <c r="K4" s="63">
        <v>1E-4</v>
      </c>
      <c r="L4" s="63">
        <v>1E-4</v>
      </c>
      <c r="M4" s="61">
        <f>ABS(H4)*SQRT((0.03/0.29)^2+(0.6/1.6)^2)</f>
        <v>0.18672342152885779</v>
      </c>
      <c r="N4" s="61">
        <f>ABS(I4)*SQRT((0.01/0.67)^2+(0.6/1.6)^2)</f>
        <v>0.402318281960937</v>
      </c>
      <c r="O4" s="61">
        <f>ABS(J4)*SQRT((0.02/0.03)^2+(0.6/1.6)^2)</f>
        <v>3.6715119501371643E-2</v>
      </c>
      <c r="P4" s="16">
        <f t="shared" si="0"/>
        <v>0.40000000000000008</v>
      </c>
      <c r="Q4" s="16">
        <f t="shared" si="1"/>
        <v>-0.40000000000000008</v>
      </c>
      <c r="R4" s="16">
        <f t="shared" si="2"/>
        <v>2.5679999999999996</v>
      </c>
      <c r="S4" s="22">
        <f t="shared" si="3"/>
        <v>6.4199999999999982</v>
      </c>
    </row>
    <row r="5" spans="1:19">
      <c r="A5" s="15" t="s">
        <v>44</v>
      </c>
      <c r="B5" s="26" t="s">
        <v>37</v>
      </c>
      <c r="C5" s="15" t="s">
        <v>97</v>
      </c>
      <c r="D5" s="14" t="s">
        <v>12</v>
      </c>
      <c r="E5" s="14" t="s">
        <v>12</v>
      </c>
      <c r="F5" s="63">
        <v>1</v>
      </c>
      <c r="G5" s="61">
        <v>0.7</v>
      </c>
      <c r="H5" s="61">
        <f>(0.32+0)*1.8</f>
        <v>0.57600000000000007</v>
      </c>
      <c r="I5" s="61">
        <f>0.67*1.8</f>
        <v>1.2060000000000002</v>
      </c>
      <c r="J5" s="61">
        <f>0.00001*1.8</f>
        <v>1.8E-5</v>
      </c>
      <c r="K5" s="63">
        <v>1E-4</v>
      </c>
      <c r="L5" s="61">
        <v>0.2</v>
      </c>
      <c r="M5" s="63">
        <f>ABS(H5)*SQRT((0.0001/0.32)^2+(0.4/1.8)^2)</f>
        <v>0.12800012656243745</v>
      </c>
      <c r="N5" s="63">
        <f>ABS(I5)*SQRT((0.0001/0.67)^2+(0.4/1.8)^2)</f>
        <v>0.26800006044775443</v>
      </c>
      <c r="O5" s="63">
        <f>ABS(J5)*SQRT((0.0001/0.0001)^2+(0.4/1.8)^2)</f>
        <v>1.8439088914585778E-5</v>
      </c>
      <c r="P5" s="16">
        <f t="shared" si="0"/>
        <v>8.2018000000000299E-2</v>
      </c>
      <c r="Q5" s="16">
        <f t="shared" si="1"/>
        <v>-8.2018000000000299E-2</v>
      </c>
      <c r="R5" s="16">
        <f t="shared" si="2"/>
        <v>1.3918900000000007</v>
      </c>
      <c r="S5" s="22">
        <f t="shared" si="3"/>
        <v>16.970543051525222</v>
      </c>
    </row>
    <row r="6" spans="1:19">
      <c r="A6" s="15" t="s">
        <v>44</v>
      </c>
      <c r="B6" s="26" t="s">
        <v>37</v>
      </c>
      <c r="C6" s="15" t="s">
        <v>96</v>
      </c>
      <c r="D6" s="14" t="s">
        <v>12</v>
      </c>
      <c r="E6" s="14" t="s">
        <v>12</v>
      </c>
      <c r="F6" s="63">
        <v>1</v>
      </c>
      <c r="G6" s="61">
        <v>0.3</v>
      </c>
      <c r="H6" s="61">
        <f>(0.17+0)*1.3</f>
        <v>0.22100000000000003</v>
      </c>
      <c r="I6" s="61">
        <f>0.83*1.3</f>
        <v>1.079</v>
      </c>
      <c r="J6" s="61">
        <f>0.00001*1.3</f>
        <v>1.3000000000000001E-5</v>
      </c>
      <c r="K6" s="63">
        <v>1E-4</v>
      </c>
      <c r="L6" s="61">
        <v>0.1</v>
      </c>
      <c r="M6" s="61">
        <f>ABS(H6)*SQRT((0.08/0.17)^2+(0.2/1.3)^2)</f>
        <v>0.10941663493271946</v>
      </c>
      <c r="N6" s="61">
        <f>ABS(I6)*SQRT((0.08/0.83)^2+(0.2/1.3)^2)</f>
        <v>0.19588772294352702</v>
      </c>
      <c r="O6" s="63">
        <f>ABS(J6)*SQRT((0.0001/0.0001)^2+(0.2/1.3)^2)</f>
        <v>1.3152946437965905E-5</v>
      </c>
      <c r="P6" s="16">
        <f t="shared" si="0"/>
        <v>1.3000000000000001E-5</v>
      </c>
      <c r="Q6" s="16">
        <f t="shared" si="1"/>
        <v>-1.3000000000000001E-5</v>
      </c>
      <c r="R6" s="16">
        <f t="shared" si="2"/>
        <v>0.71636500000000036</v>
      </c>
      <c r="S6" s="22">
        <f t="shared" si="3"/>
        <v>55105.000000000022</v>
      </c>
    </row>
    <row r="7" spans="1:19">
      <c r="A7" s="15" t="s">
        <v>44</v>
      </c>
      <c r="B7" s="26" t="s">
        <v>37</v>
      </c>
      <c r="C7" s="15" t="s">
        <v>96</v>
      </c>
      <c r="D7" s="14" t="s">
        <v>12</v>
      </c>
      <c r="E7" s="14" t="s">
        <v>12</v>
      </c>
      <c r="F7" s="63">
        <v>1</v>
      </c>
      <c r="G7" s="61">
        <v>0.4</v>
      </c>
      <c r="H7" s="61">
        <f>(0.2+0.02)/1.4</f>
        <v>0.15714285714285717</v>
      </c>
      <c r="I7" s="61">
        <f>0.77/1.4</f>
        <v>0.55000000000000004</v>
      </c>
      <c r="J7" s="61">
        <f>0.01/1.4</f>
        <v>7.1428571428571435E-3</v>
      </c>
      <c r="K7" s="63">
        <v>1E-4</v>
      </c>
      <c r="L7" s="63">
        <v>1E-4</v>
      </c>
      <c r="M7" s="61">
        <f>ABS(H7)*SQRT((0.0001/0.2)^2+(0.4/1.4)^2)</f>
        <v>4.4898027933620847E-2</v>
      </c>
      <c r="N7" s="63">
        <f>ABS(I7)*SQRT((0.0001/0.77)^2+(0.4/1.4)^2)</f>
        <v>0.15714287337662258</v>
      </c>
      <c r="O7" s="61">
        <f>ABS(J7)*SQRT((0.01/0.01)^2+(0.4/1.4)^2)</f>
        <v>7.4286835604903253E-3</v>
      </c>
      <c r="P7" s="16">
        <f t="shared" si="0"/>
        <v>-0.6857142857142855</v>
      </c>
      <c r="Q7" s="16">
        <f t="shared" si="1"/>
        <v>0.6857142857142855</v>
      </c>
      <c r="R7" s="16">
        <f t="shared" si="2"/>
        <v>-2.3349999999999995</v>
      </c>
      <c r="S7" s="22">
        <f t="shared" si="3"/>
        <v>3.4052083333333338</v>
      </c>
    </row>
    <row r="8" spans="1:19">
      <c r="A8" s="15" t="s">
        <v>44</v>
      </c>
      <c r="B8" s="26" t="s">
        <v>37</v>
      </c>
      <c r="C8" s="15" t="s">
        <v>96</v>
      </c>
      <c r="D8" s="14" t="s">
        <v>12</v>
      </c>
      <c r="E8" s="14" t="s">
        <v>12</v>
      </c>
      <c r="F8" s="63">
        <v>1</v>
      </c>
      <c r="G8" s="61">
        <v>0.2</v>
      </c>
      <c r="H8" s="61">
        <f>(0.25+0)/0.9</f>
        <v>0.27777777777777779</v>
      </c>
      <c r="I8" s="61">
        <f>0.75/0.9</f>
        <v>0.83333333333333326</v>
      </c>
      <c r="J8" s="61">
        <f>0.00001/0.9</f>
        <v>1.1111111111111112E-5</v>
      </c>
      <c r="K8" s="63">
        <v>1E-4</v>
      </c>
      <c r="L8" s="61">
        <v>0.1</v>
      </c>
      <c r="M8" s="61">
        <f>ABS(H8)*SQRT((0.09/0.25)^2+(0.2/0.9)^2)</f>
        <v>0.11751763593987422</v>
      </c>
      <c r="N8" s="61">
        <f>ABS(I8)*SQRT((0.09/0.75)^2+(0.2/0.9)^2)</f>
        <v>0.21046033548407958</v>
      </c>
      <c r="O8" s="63">
        <f>ABS(J8)*SQRT((0.0001/0.0001)^2+(0.2/0.9)^2)</f>
        <v>1.1382153650978875E-5</v>
      </c>
      <c r="P8" s="16">
        <f t="shared" si="0"/>
        <v>-8.8877777777777792E-2</v>
      </c>
      <c r="Q8" s="16">
        <f t="shared" si="1"/>
        <v>8.8877777777777792E-2</v>
      </c>
      <c r="R8" s="16">
        <f t="shared" si="2"/>
        <v>0.2833888888888883</v>
      </c>
      <c r="S8" s="22">
        <f t="shared" si="3"/>
        <v>-3.1885235654456734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Info</vt:lpstr>
      <vt:lpstr>References</vt:lpstr>
      <vt:lpstr>All</vt:lpstr>
      <vt:lpstr>Yagci 2003</vt:lpstr>
      <vt:lpstr>Pijuan 2003</vt:lpstr>
      <vt:lpstr>Erdal 2005</vt:lpstr>
      <vt:lpstr>Pijuan 2008</vt:lpstr>
      <vt:lpstr>Zhou 2009</vt:lpstr>
      <vt:lpstr>Lanham 2012</vt:lpstr>
      <vt:lpstr>Acevedo 2012</vt:lpstr>
      <vt:lpstr>Carvalheira 2014</vt:lpstr>
      <vt:lpstr>Welles 2015, 2017</vt:lpstr>
      <vt:lpstr>Filipe 2001 GAO model</vt:lpstr>
      <vt:lpstr>Acevedo 2014 PAMGAM model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Leonor Guedes da Silva - TNW</dc:creator>
  <cp:lastModifiedBy>Leonor Guedes da Silva</cp:lastModifiedBy>
  <dcterms:created xsi:type="dcterms:W3CDTF">2017-10-25T16:00:05Z</dcterms:created>
  <dcterms:modified xsi:type="dcterms:W3CDTF">2020-09-12T19:02:45Z</dcterms:modified>
</cp:coreProperties>
</file>